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26768F58-47FA-42DC-8865-C96B013F973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Май 2025" sheetId="1" r:id="rId1"/>
    <sheet name="Рсчет субвенци (1,14, МРОТ, Кр)" sheetId="2" r:id="rId2"/>
    <sheet name="Предварительные на 2026" sheetId="3" r:id="rId3"/>
    <sheet name="Акты и ЮЗД за 2022-2024" sheetId="4" r:id="rId4"/>
    <sheet name="Смрi" sheetId="5" r:id="rId5"/>
    <sheet name="К-т расселения" sheetId="6" r:id="rId6"/>
  </sheets>
  <definedNames>
    <definedName name="_xlnm._FilterDatabase" localSheetId="1" hidden="1">'Рсчет субвенци (1,14, МРОТ, Кр)'!$A$4:$AB$93</definedName>
    <definedName name="Print_Titles" localSheetId="1">'Рсчет субвенци (1,14, МРОТ, Кр)'!$4:$4</definedName>
    <definedName name="_xlnm.Print_Area" localSheetId="1">'Рсчет субвенци (1,14, МРОТ, Кр)'!$A$1:$AI$93</definedName>
  </definedNames>
  <calcPr calcId="191029" fullPrecision="0"/>
</workbook>
</file>

<file path=xl/calcChain.xml><?xml version="1.0" encoding="utf-8"?>
<calcChain xmlns="http://schemas.openxmlformats.org/spreadsheetml/2006/main">
  <c r="X6" i="3" l="1"/>
  <c r="X10" i="3"/>
  <c r="X14" i="3"/>
  <c r="X15" i="3"/>
  <c r="X18" i="3"/>
  <c r="X22" i="3"/>
  <c r="X26" i="3"/>
  <c r="X5" i="3"/>
  <c r="T28" i="3"/>
  <c r="V28" i="3" s="1"/>
  <c r="W28" i="3" s="1"/>
  <c r="O6" i="3"/>
  <c r="O7" i="3"/>
  <c r="X7" i="3" s="1"/>
  <c r="O8" i="3"/>
  <c r="X8" i="3" s="1"/>
  <c r="O9" i="3"/>
  <c r="X9" i="3" s="1"/>
  <c r="O10" i="3"/>
  <c r="O11" i="3"/>
  <c r="X11" i="3" s="1"/>
  <c r="O12" i="3"/>
  <c r="X12" i="3" s="1"/>
  <c r="O13" i="3"/>
  <c r="X13" i="3" s="1"/>
  <c r="O14" i="3"/>
  <c r="O15" i="3"/>
  <c r="O16" i="3"/>
  <c r="X16" i="3" s="1"/>
  <c r="O17" i="3"/>
  <c r="X17" i="3" s="1"/>
  <c r="O18" i="3"/>
  <c r="O19" i="3"/>
  <c r="X19" i="3" s="1"/>
  <c r="O20" i="3"/>
  <c r="X20" i="3" s="1"/>
  <c r="O21" i="3"/>
  <c r="X21" i="3" s="1"/>
  <c r="O22" i="3"/>
  <c r="O23" i="3"/>
  <c r="X23" i="3" s="1"/>
  <c r="O24" i="3"/>
  <c r="X24" i="3" s="1"/>
  <c r="O25" i="3"/>
  <c r="X25" i="3" s="1"/>
  <c r="O26" i="3"/>
  <c r="O28" i="3"/>
  <c r="X28" i="3" s="1"/>
  <c r="O5" i="3"/>
  <c r="N27" i="3"/>
  <c r="N29" i="3" s="1"/>
  <c r="O29" i="3" s="1"/>
  <c r="X29" i="3" s="1"/>
  <c r="U6" i="3"/>
  <c r="U7" i="3"/>
  <c r="U8" i="3"/>
  <c r="U9" i="3"/>
  <c r="U10" i="3"/>
  <c r="U11" i="3"/>
  <c r="U12" i="3"/>
  <c r="U13" i="3"/>
  <c r="U14" i="3"/>
  <c r="U15" i="3"/>
  <c r="U16" i="3"/>
  <c r="U17" i="3"/>
  <c r="L28" i="3"/>
  <c r="M28" i="3" s="1"/>
  <c r="E28" i="3"/>
  <c r="F28" i="3" s="1"/>
  <c r="O27" i="3" l="1"/>
  <c r="X27" i="3" s="1"/>
  <c r="P28" i="3"/>
  <c r="Y28" i="3"/>
  <c r="V23" i="2"/>
  <c r="B243" i="6"/>
  <c r="B241" i="6" s="1"/>
  <c r="C241" i="6"/>
  <c r="B240" i="6"/>
  <c r="B238" i="6" s="1"/>
  <c r="F238" i="6" s="1"/>
  <c r="C238" i="6"/>
  <c r="D238" i="6" s="1"/>
  <c r="G238" i="6" s="1"/>
  <c r="F237" i="6"/>
  <c r="D237" i="6"/>
  <c r="F236" i="6"/>
  <c r="D236" i="6"/>
  <c r="B235" i="6"/>
  <c r="B232" i="6" s="1"/>
  <c r="F232" i="6" s="1"/>
  <c r="C232" i="6"/>
  <c r="D232" i="6" s="1"/>
  <c r="G232" i="6" s="1"/>
  <c r="B230" i="6"/>
  <c r="B228" i="6" s="1"/>
  <c r="C228" i="6"/>
  <c r="F227" i="6"/>
  <c r="D227" i="6"/>
  <c r="G227" i="6" s="1"/>
  <c r="B226" i="6"/>
  <c r="B225" i="6"/>
  <c r="B222" i="6"/>
  <c r="B221" i="6"/>
  <c r="B219" i="6"/>
  <c r="C217" i="6"/>
  <c r="B216" i="6"/>
  <c r="B214" i="6" s="1"/>
  <c r="D214" i="6" s="1"/>
  <c r="C214" i="6"/>
  <c r="B213" i="6"/>
  <c r="B210" i="6" s="1"/>
  <c r="B212" i="6"/>
  <c r="C210" i="6"/>
  <c r="B209" i="6"/>
  <c r="C207" i="6"/>
  <c r="B207" i="6"/>
  <c r="B205" i="6"/>
  <c r="B204" i="6"/>
  <c r="B203" i="6"/>
  <c r="C202" i="6"/>
  <c r="B201" i="6"/>
  <c r="B199" i="6" s="1"/>
  <c r="C199" i="6"/>
  <c r="F198" i="6"/>
  <c r="D198" i="6"/>
  <c r="G198" i="6" s="1"/>
  <c r="B197" i="6"/>
  <c r="B195" i="6" s="1"/>
  <c r="C195" i="6"/>
  <c r="B194" i="6"/>
  <c r="B193" i="6"/>
  <c r="B192" i="6"/>
  <c r="B189" i="6" s="1"/>
  <c r="C189" i="6"/>
  <c r="B188" i="6"/>
  <c r="B186" i="6" s="1"/>
  <c r="C186" i="6"/>
  <c r="C183" i="6"/>
  <c r="B183" i="6"/>
  <c r="F182" i="6"/>
  <c r="D182" i="6"/>
  <c r="G182" i="6" s="1"/>
  <c r="F181" i="6"/>
  <c r="D181" i="6"/>
  <c r="G181" i="6" s="1"/>
  <c r="F180" i="6"/>
  <c r="D180" i="6"/>
  <c r="B179" i="6"/>
  <c r="C177" i="6"/>
  <c r="B177" i="6"/>
  <c r="F177" i="6" s="1"/>
  <c r="F176" i="6"/>
  <c r="D176" i="6"/>
  <c r="G176" i="6" s="1"/>
  <c r="F175" i="6"/>
  <c r="D175" i="6"/>
  <c r="G175" i="6" s="1"/>
  <c r="F173" i="6"/>
  <c r="D173" i="6"/>
  <c r="G173" i="6" s="1"/>
  <c r="F172" i="6"/>
  <c r="D172" i="6"/>
  <c r="G172" i="6" s="1"/>
  <c r="F171" i="6"/>
  <c r="D171" i="6"/>
  <c r="G171" i="6" s="1"/>
  <c r="C168" i="6"/>
  <c r="B168" i="6"/>
  <c r="F167" i="6"/>
  <c r="D167" i="6"/>
  <c r="G167" i="6" s="1"/>
  <c r="F166" i="6"/>
  <c r="D166" i="6"/>
  <c r="G166" i="6" s="1"/>
  <c r="F165" i="6"/>
  <c r="D165" i="6"/>
  <c r="G165" i="6" s="1"/>
  <c r="F164" i="6"/>
  <c r="D164" i="6"/>
  <c r="G164" i="6" s="1"/>
  <c r="C163" i="6"/>
  <c r="F162" i="6"/>
  <c r="D162" i="6"/>
  <c r="B161" i="6"/>
  <c r="B160" i="6"/>
  <c r="C159" i="6"/>
  <c r="B158" i="6"/>
  <c r="B157" i="6"/>
  <c r="B155" i="6" s="1"/>
  <c r="C155" i="6"/>
  <c r="F154" i="6"/>
  <c r="D154" i="6"/>
  <c r="F153" i="6"/>
  <c r="D153" i="6"/>
  <c r="G153" i="6" s="1"/>
  <c r="F152" i="6"/>
  <c r="D152" i="6"/>
  <c r="G152" i="6" s="1"/>
  <c r="F151" i="6"/>
  <c r="D151" i="6"/>
  <c r="G151" i="6" s="1"/>
  <c r="F150" i="6"/>
  <c r="D150" i="6"/>
  <c r="G150" i="6" s="1"/>
  <c r="B149" i="6"/>
  <c r="B148" i="6"/>
  <c r="B147" i="6"/>
  <c r="C145" i="6"/>
  <c r="B144" i="6"/>
  <c r="B143" i="6"/>
  <c r="B142" i="6"/>
  <c r="B141" i="6"/>
  <c r="B140" i="6"/>
  <c r="C139" i="6"/>
  <c r="B138" i="6"/>
  <c r="B136" i="6" s="1"/>
  <c r="C136" i="6"/>
  <c r="B134" i="6"/>
  <c r="B133" i="6"/>
  <c r="B132" i="6"/>
  <c r="C130" i="6"/>
  <c r="F129" i="6"/>
  <c r="D129" i="6"/>
  <c r="C126" i="6"/>
  <c r="B126" i="6"/>
  <c r="F126" i="6" s="1"/>
  <c r="B125" i="6"/>
  <c r="B124" i="6"/>
  <c r="B123" i="6"/>
  <c r="B120" i="6" s="1"/>
  <c r="F120" i="6" s="1"/>
  <c r="C120" i="6"/>
  <c r="D120" i="6" s="1"/>
  <c r="G120" i="6" s="1"/>
  <c r="B119" i="6"/>
  <c r="B118" i="6"/>
  <c r="C116" i="6"/>
  <c r="C113" i="6"/>
  <c r="B113" i="6"/>
  <c r="F113" i="6" s="1"/>
  <c r="F112" i="6"/>
  <c r="D112" i="6"/>
  <c r="F111" i="6"/>
  <c r="D111" i="6"/>
  <c r="C107" i="6"/>
  <c r="B107" i="6"/>
  <c r="F107" i="6" s="1"/>
  <c r="F106" i="6"/>
  <c r="D106" i="6"/>
  <c r="F105" i="6"/>
  <c r="D105" i="6"/>
  <c r="F104" i="6"/>
  <c r="D104" i="6"/>
  <c r="G104" i="6" s="1"/>
  <c r="C101" i="6"/>
  <c r="B101" i="6"/>
  <c r="B100" i="6"/>
  <c r="B98" i="6" s="1"/>
  <c r="D98" i="6" s="1"/>
  <c r="C98" i="6"/>
  <c r="F97" i="6"/>
  <c r="D97" i="6"/>
  <c r="G97" i="6" s="1"/>
  <c r="F96" i="6"/>
  <c r="D96" i="6"/>
  <c r="C95" i="6"/>
  <c r="F94" i="6"/>
  <c r="D94" i="6"/>
  <c r="B93" i="6"/>
  <c r="B92" i="6"/>
  <c r="C91" i="6"/>
  <c r="F90" i="6"/>
  <c r="D90" i="6"/>
  <c r="B88" i="6"/>
  <c r="B87" i="6"/>
  <c r="B86" i="6"/>
  <c r="B85" i="6"/>
  <c r="C83" i="6"/>
  <c r="B82" i="6"/>
  <c r="B81" i="6"/>
  <c r="B80" i="6"/>
  <c r="B78" i="6" s="1"/>
  <c r="F78" i="6" s="1"/>
  <c r="C78" i="6"/>
  <c r="F77" i="6"/>
  <c r="D77" i="6"/>
  <c r="B74" i="6"/>
  <c r="C72" i="6"/>
  <c r="B72" i="6"/>
  <c r="F71" i="6"/>
  <c r="D71" i="6"/>
  <c r="B70" i="6"/>
  <c r="B69" i="6"/>
  <c r="B68" i="6"/>
  <c r="C66" i="6"/>
  <c r="B65" i="6"/>
  <c r="B64" i="6"/>
  <c r="C62" i="6"/>
  <c r="B60" i="6"/>
  <c r="B59" i="6"/>
  <c r="B58" i="6"/>
  <c r="B57" i="6"/>
  <c r="B56" i="6"/>
  <c r="B54" i="6" s="1"/>
  <c r="C54" i="6"/>
  <c r="B53" i="6"/>
  <c r="B52" i="6"/>
  <c r="B51" i="6"/>
  <c r="C49" i="6"/>
  <c r="F48" i="6"/>
  <c r="D48" i="6"/>
  <c r="G48" i="6" s="1"/>
  <c r="B47" i="6"/>
  <c r="B46" i="6"/>
  <c r="B45" i="6"/>
  <c r="B44" i="6"/>
  <c r="B43" i="6"/>
  <c r="B42" i="6"/>
  <c r="B41" i="6"/>
  <c r="C38" i="6"/>
  <c r="F37" i="6"/>
  <c r="D37" i="6"/>
  <c r="G37" i="6" s="1"/>
  <c r="B36" i="6"/>
  <c r="B35" i="6"/>
  <c r="C33" i="6"/>
  <c r="F31" i="6"/>
  <c r="D31" i="6"/>
  <c r="G31" i="6" s="1"/>
  <c r="B30" i="6"/>
  <c r="B29" i="6"/>
  <c r="C27" i="6"/>
  <c r="F26" i="6"/>
  <c r="D26" i="6"/>
  <c r="G26" i="6" s="1"/>
  <c r="F25" i="6"/>
  <c r="D25" i="6"/>
  <c r="G25" i="6" s="1"/>
  <c r="F24" i="6"/>
  <c r="D24" i="6"/>
  <c r="B23" i="6"/>
  <c r="B22" i="6"/>
  <c r="B21" i="6"/>
  <c r="C19" i="6"/>
  <c r="F18" i="6"/>
  <c r="D18" i="6"/>
  <c r="F16" i="6"/>
  <c r="D16" i="6"/>
  <c r="F15" i="6"/>
  <c r="D15" i="6"/>
  <c r="F14" i="6"/>
  <c r="D14" i="6"/>
  <c r="F13" i="6"/>
  <c r="D13" i="6"/>
  <c r="F12" i="6"/>
  <c r="D12" i="6"/>
  <c r="F11" i="6"/>
  <c r="D11" i="6"/>
  <c r="F10" i="6"/>
  <c r="D10" i="6"/>
  <c r="F9" i="6"/>
  <c r="D9" i="6"/>
  <c r="F8" i="6"/>
  <c r="D8" i="6"/>
  <c r="F7" i="6"/>
  <c r="D7" i="6"/>
  <c r="F5" i="6"/>
  <c r="D5" i="6"/>
  <c r="F4" i="6"/>
  <c r="D4" i="6"/>
  <c r="F2" i="6"/>
  <c r="D2" i="6"/>
  <c r="B13" i="5"/>
  <c r="F13" i="5" s="1"/>
  <c r="M13" i="5" s="1"/>
  <c r="B12" i="5"/>
  <c r="F12" i="5" s="1"/>
  <c r="M12" i="5" s="1"/>
  <c r="B11" i="5"/>
  <c r="F11" i="5" s="1"/>
  <c r="M11" i="5" s="1"/>
  <c r="B10" i="5"/>
  <c r="F10" i="5" s="1"/>
  <c r="M10" i="5" s="1"/>
  <c r="Q10" i="5" s="1"/>
  <c r="B9" i="5"/>
  <c r="F9" i="5" s="1"/>
  <c r="M9" i="5" s="1"/>
  <c r="O9" i="5" s="1"/>
  <c r="B8" i="5"/>
  <c r="F8" i="5" s="1"/>
  <c r="M8" i="5" s="1"/>
  <c r="B7" i="5"/>
  <c r="F7" i="5" s="1"/>
  <c r="M7" i="5" s="1"/>
  <c r="F6" i="5"/>
  <c r="M6" i="5" s="1"/>
  <c r="B6" i="5"/>
  <c r="K5" i="5"/>
  <c r="B5" i="5"/>
  <c r="F5" i="5" s="1"/>
  <c r="M5" i="5" s="1"/>
  <c r="Q5" i="5" s="1"/>
  <c r="H90" i="4"/>
  <c r="G90" i="4"/>
  <c r="F90" i="4"/>
  <c r="D90" i="4"/>
  <c r="C90" i="4"/>
  <c r="B90" i="4"/>
  <c r="I89" i="4"/>
  <c r="E89" i="4"/>
  <c r="I88" i="4"/>
  <c r="E88" i="4"/>
  <c r="I87" i="4"/>
  <c r="E87" i="4"/>
  <c r="I86" i="4"/>
  <c r="E86" i="4"/>
  <c r="I85" i="4"/>
  <c r="E85" i="4"/>
  <c r="I84" i="4"/>
  <c r="E84" i="4"/>
  <c r="I83" i="4"/>
  <c r="E83" i="4"/>
  <c r="I82" i="4"/>
  <c r="E82" i="4"/>
  <c r="I81" i="4"/>
  <c r="E81" i="4"/>
  <c r="I80" i="4"/>
  <c r="E80" i="4"/>
  <c r="I79" i="4"/>
  <c r="E79" i="4"/>
  <c r="I78" i="4"/>
  <c r="E78" i="4"/>
  <c r="I77" i="4"/>
  <c r="E77" i="4"/>
  <c r="I76" i="4"/>
  <c r="E76" i="4"/>
  <c r="I75" i="4"/>
  <c r="E75" i="4"/>
  <c r="I74" i="4"/>
  <c r="E74" i="4"/>
  <c r="I73" i="4"/>
  <c r="E73" i="4"/>
  <c r="I72" i="4"/>
  <c r="E72" i="4"/>
  <c r="I71" i="4"/>
  <c r="E71" i="4"/>
  <c r="I70" i="4"/>
  <c r="E70" i="4"/>
  <c r="I69" i="4"/>
  <c r="E69" i="4"/>
  <c r="I68" i="4"/>
  <c r="E68" i="4"/>
  <c r="I67" i="4"/>
  <c r="E67" i="4"/>
  <c r="I66" i="4"/>
  <c r="E66" i="4"/>
  <c r="I65" i="4"/>
  <c r="E65" i="4"/>
  <c r="I64" i="4"/>
  <c r="E64" i="4"/>
  <c r="I63" i="4"/>
  <c r="E63" i="4"/>
  <c r="I62" i="4"/>
  <c r="E62" i="4"/>
  <c r="I61" i="4"/>
  <c r="E61" i="4"/>
  <c r="I60" i="4"/>
  <c r="E60" i="4"/>
  <c r="I59" i="4"/>
  <c r="E59" i="4"/>
  <c r="I58" i="4"/>
  <c r="E58" i="4"/>
  <c r="I57" i="4"/>
  <c r="E57" i="4"/>
  <c r="I56" i="4"/>
  <c r="E56" i="4"/>
  <c r="I55" i="4"/>
  <c r="E55" i="4"/>
  <c r="I54" i="4"/>
  <c r="E54" i="4"/>
  <c r="I53" i="4"/>
  <c r="E53" i="4"/>
  <c r="I52" i="4"/>
  <c r="E52" i="4"/>
  <c r="I51" i="4"/>
  <c r="E51" i="4"/>
  <c r="I50" i="4"/>
  <c r="E50" i="4"/>
  <c r="I49" i="4"/>
  <c r="E49" i="4"/>
  <c r="I48" i="4"/>
  <c r="E48" i="4"/>
  <c r="I47" i="4"/>
  <c r="E47" i="4"/>
  <c r="I46" i="4"/>
  <c r="E46" i="4"/>
  <c r="I45" i="4"/>
  <c r="E45" i="4"/>
  <c r="I44" i="4"/>
  <c r="E44" i="4"/>
  <c r="I43" i="4"/>
  <c r="E43" i="4"/>
  <c r="I42" i="4"/>
  <c r="E42" i="4"/>
  <c r="I41" i="4"/>
  <c r="E41" i="4"/>
  <c r="I40" i="4"/>
  <c r="E40" i="4"/>
  <c r="I39" i="4"/>
  <c r="E39" i="4"/>
  <c r="I38" i="4"/>
  <c r="E38" i="4"/>
  <c r="I37" i="4"/>
  <c r="E37" i="4"/>
  <c r="I36" i="4"/>
  <c r="E36" i="4"/>
  <c r="I35" i="4"/>
  <c r="E35" i="4"/>
  <c r="I34" i="4"/>
  <c r="E34" i="4"/>
  <c r="I33" i="4"/>
  <c r="E33" i="4"/>
  <c r="I32" i="4"/>
  <c r="E32" i="4"/>
  <c r="I31" i="4"/>
  <c r="E31" i="4"/>
  <c r="I30" i="4"/>
  <c r="E30" i="4"/>
  <c r="I29" i="4"/>
  <c r="E29" i="4"/>
  <c r="I28" i="4"/>
  <c r="E28" i="4"/>
  <c r="I27" i="4"/>
  <c r="E27" i="4"/>
  <c r="I26" i="4"/>
  <c r="E26" i="4"/>
  <c r="I25" i="4"/>
  <c r="E25" i="4"/>
  <c r="I24" i="4"/>
  <c r="E24" i="4"/>
  <c r="I23" i="4"/>
  <c r="E23" i="4"/>
  <c r="I22" i="4"/>
  <c r="E22" i="4"/>
  <c r="I21" i="4"/>
  <c r="E21" i="4"/>
  <c r="I20" i="4"/>
  <c r="E20" i="4"/>
  <c r="I19" i="4"/>
  <c r="E19" i="4"/>
  <c r="I18" i="4"/>
  <c r="E18" i="4"/>
  <c r="I17" i="4"/>
  <c r="E17" i="4"/>
  <c r="I16" i="4"/>
  <c r="E16" i="4"/>
  <c r="I15" i="4"/>
  <c r="E15" i="4"/>
  <c r="I14" i="4"/>
  <c r="E14" i="4"/>
  <c r="I13" i="4"/>
  <c r="E13" i="4"/>
  <c r="I12" i="4"/>
  <c r="E12" i="4"/>
  <c r="I11" i="4"/>
  <c r="E11" i="4"/>
  <c r="I10" i="4"/>
  <c r="E10" i="4"/>
  <c r="I9" i="4"/>
  <c r="E9" i="4"/>
  <c r="I8" i="4"/>
  <c r="E8" i="4"/>
  <c r="I7" i="4"/>
  <c r="E7" i="4"/>
  <c r="I6" i="4"/>
  <c r="E6" i="4"/>
  <c r="I5" i="4"/>
  <c r="E5" i="4"/>
  <c r="I4" i="4"/>
  <c r="E4" i="4"/>
  <c r="I3" i="4"/>
  <c r="E3" i="4"/>
  <c r="AG93" i="2"/>
  <c r="AF93" i="2"/>
  <c r="L93" i="2"/>
  <c r="D93" i="2"/>
  <c r="C93" i="2"/>
  <c r="AE92" i="2"/>
  <c r="X92" i="2"/>
  <c r="V92" i="2"/>
  <c r="W92" i="2" s="1"/>
  <c r="N92" i="2"/>
  <c r="R92" i="2" s="1"/>
  <c r="E92" i="2"/>
  <c r="G92" i="2" s="1"/>
  <c r="K92" i="2" s="1"/>
  <c r="T92" i="2" s="1"/>
  <c r="AE91" i="2"/>
  <c r="V91" i="2"/>
  <c r="X91" i="2" s="1"/>
  <c r="N91" i="2"/>
  <c r="R91" i="2" s="1"/>
  <c r="E91" i="2"/>
  <c r="G91" i="2" s="1"/>
  <c r="K91" i="2" s="1"/>
  <c r="T91" i="2" s="1"/>
  <c r="AE90" i="2"/>
  <c r="V90" i="2"/>
  <c r="N90" i="2"/>
  <c r="R90" i="2" s="1"/>
  <c r="G90" i="2"/>
  <c r="K90" i="2" s="1"/>
  <c r="E90" i="2"/>
  <c r="AE89" i="2"/>
  <c r="V89" i="2"/>
  <c r="X89" i="2" s="1"/>
  <c r="N89" i="2"/>
  <c r="R89" i="2" s="1"/>
  <c r="E89" i="2"/>
  <c r="G89" i="2" s="1"/>
  <c r="K89" i="2" s="1"/>
  <c r="AE88" i="2"/>
  <c r="V88" i="2"/>
  <c r="R88" i="2"/>
  <c r="N88" i="2"/>
  <c r="E88" i="2"/>
  <c r="G88" i="2" s="1"/>
  <c r="K88" i="2" s="1"/>
  <c r="AE87" i="2"/>
  <c r="X87" i="2"/>
  <c r="W87" i="2"/>
  <c r="V87" i="2"/>
  <c r="N87" i="2"/>
  <c r="R87" i="2" s="1"/>
  <c r="E87" i="2"/>
  <c r="G87" i="2" s="1"/>
  <c r="K87" i="2" s="1"/>
  <c r="AE86" i="2"/>
  <c r="V86" i="2"/>
  <c r="N86" i="2"/>
  <c r="R86" i="2" s="1"/>
  <c r="E86" i="2"/>
  <c r="G86" i="2" s="1"/>
  <c r="K86" i="2" s="1"/>
  <c r="T86" i="2" s="1"/>
  <c r="AE85" i="2"/>
  <c r="V85" i="2"/>
  <c r="X85" i="2" s="1"/>
  <c r="N85" i="2"/>
  <c r="R85" i="2" s="1"/>
  <c r="E85" i="2"/>
  <c r="G85" i="2" s="1"/>
  <c r="K85" i="2" s="1"/>
  <c r="AE84" i="2"/>
  <c r="V84" i="2"/>
  <c r="N84" i="2"/>
  <c r="R84" i="2" s="1"/>
  <c r="E84" i="2"/>
  <c r="G84" i="2" s="1"/>
  <c r="K84" i="2" s="1"/>
  <c r="AE83" i="2"/>
  <c r="V83" i="2"/>
  <c r="N83" i="2"/>
  <c r="R83" i="2" s="1"/>
  <c r="G83" i="2"/>
  <c r="K83" i="2" s="1"/>
  <c r="E83" i="2"/>
  <c r="AE82" i="2"/>
  <c r="V82" i="2"/>
  <c r="X82" i="2" s="1"/>
  <c r="N82" i="2"/>
  <c r="R82" i="2" s="1"/>
  <c r="G82" i="2"/>
  <c r="K82" i="2" s="1"/>
  <c r="E82" i="2"/>
  <c r="AE81" i="2"/>
  <c r="V81" i="2"/>
  <c r="N81" i="2"/>
  <c r="R81" i="2" s="1"/>
  <c r="E81" i="2"/>
  <c r="G81" i="2" s="1"/>
  <c r="K81" i="2" s="1"/>
  <c r="T81" i="2" s="1"/>
  <c r="AE80" i="2"/>
  <c r="V80" i="2"/>
  <c r="X80" i="2" s="1"/>
  <c r="N80" i="2"/>
  <c r="R80" i="2" s="1"/>
  <c r="E80" i="2"/>
  <c r="G80" i="2" s="1"/>
  <c r="K80" i="2" s="1"/>
  <c r="AE79" i="2"/>
  <c r="V79" i="2"/>
  <c r="N79" i="2"/>
  <c r="R79" i="2" s="1"/>
  <c r="E79" i="2"/>
  <c r="G79" i="2" s="1"/>
  <c r="K79" i="2" s="1"/>
  <c r="T79" i="2" s="1"/>
  <c r="AE78" i="2"/>
  <c r="V78" i="2"/>
  <c r="W78" i="2" s="1"/>
  <c r="R78" i="2"/>
  <c r="N78" i="2"/>
  <c r="E78" i="2"/>
  <c r="G78" i="2" s="1"/>
  <c r="K78" i="2" s="1"/>
  <c r="AE77" i="2"/>
  <c r="V77" i="2"/>
  <c r="N77" i="2"/>
  <c r="R77" i="2" s="1"/>
  <c r="E77" i="2"/>
  <c r="G77" i="2" s="1"/>
  <c r="K77" i="2" s="1"/>
  <c r="AE76" i="2"/>
  <c r="V76" i="2"/>
  <c r="N76" i="2"/>
  <c r="R76" i="2" s="1"/>
  <c r="E76" i="2"/>
  <c r="G76" i="2" s="1"/>
  <c r="K76" i="2" s="1"/>
  <c r="AE75" i="2"/>
  <c r="V75" i="2"/>
  <c r="N75" i="2"/>
  <c r="R75" i="2" s="1"/>
  <c r="E75" i="2"/>
  <c r="G75" i="2" s="1"/>
  <c r="K75" i="2" s="1"/>
  <c r="AE74" i="2"/>
  <c r="V74" i="2"/>
  <c r="X74" i="2" s="1"/>
  <c r="N74" i="2"/>
  <c r="R74" i="2" s="1"/>
  <c r="E74" i="2"/>
  <c r="G74" i="2" s="1"/>
  <c r="K74" i="2" s="1"/>
  <c r="AE73" i="2"/>
  <c r="V73" i="2"/>
  <c r="N73" i="2"/>
  <c r="R73" i="2" s="1"/>
  <c r="E73" i="2"/>
  <c r="G73" i="2" s="1"/>
  <c r="K73" i="2" s="1"/>
  <c r="T73" i="2" s="1"/>
  <c r="AE72" i="2"/>
  <c r="V72" i="2"/>
  <c r="X72" i="2" s="1"/>
  <c r="N72" i="2"/>
  <c r="R72" i="2" s="1"/>
  <c r="E72" i="2"/>
  <c r="G72" i="2" s="1"/>
  <c r="K72" i="2" s="1"/>
  <c r="AE71" i="2"/>
  <c r="V71" i="2"/>
  <c r="N71" i="2"/>
  <c r="R71" i="2" s="1"/>
  <c r="E71" i="2"/>
  <c r="G71" i="2" s="1"/>
  <c r="K71" i="2" s="1"/>
  <c r="T71" i="2" s="1"/>
  <c r="AE70" i="2"/>
  <c r="V70" i="2"/>
  <c r="X70" i="2" s="1"/>
  <c r="R70" i="2"/>
  <c r="N70" i="2"/>
  <c r="E70" i="2"/>
  <c r="G70" i="2" s="1"/>
  <c r="K70" i="2" s="1"/>
  <c r="T70" i="2" s="1"/>
  <c r="AE69" i="2"/>
  <c r="V69" i="2"/>
  <c r="N69" i="2"/>
  <c r="R69" i="2" s="1"/>
  <c r="E69" i="2"/>
  <c r="G69" i="2" s="1"/>
  <c r="K69" i="2" s="1"/>
  <c r="T69" i="2" s="1"/>
  <c r="AE68" i="2"/>
  <c r="V68" i="2"/>
  <c r="X68" i="2" s="1"/>
  <c r="N68" i="2"/>
  <c r="R68" i="2" s="1"/>
  <c r="E68" i="2"/>
  <c r="G68" i="2" s="1"/>
  <c r="K68" i="2" s="1"/>
  <c r="T68" i="2" s="1"/>
  <c r="Y68" i="2" s="1"/>
  <c r="AE67" i="2"/>
  <c r="V67" i="2"/>
  <c r="N67" i="2"/>
  <c r="R67" i="2" s="1"/>
  <c r="E67" i="2"/>
  <c r="G67" i="2" s="1"/>
  <c r="K67" i="2" s="1"/>
  <c r="T67" i="2" s="1"/>
  <c r="AE66" i="2"/>
  <c r="V66" i="2"/>
  <c r="N66" i="2"/>
  <c r="R66" i="2" s="1"/>
  <c r="E66" i="2"/>
  <c r="G66" i="2" s="1"/>
  <c r="K66" i="2" s="1"/>
  <c r="AE65" i="2"/>
  <c r="V65" i="2"/>
  <c r="N65" i="2"/>
  <c r="R65" i="2" s="1"/>
  <c r="E65" i="2"/>
  <c r="G65" i="2" s="1"/>
  <c r="K65" i="2" s="1"/>
  <c r="T65" i="2" s="1"/>
  <c r="AE64" i="2"/>
  <c r="V64" i="2"/>
  <c r="X64" i="2" s="1"/>
  <c r="R64" i="2"/>
  <c r="N64" i="2"/>
  <c r="E64" i="2"/>
  <c r="G64" i="2" s="1"/>
  <c r="K64" i="2" s="1"/>
  <c r="AE63" i="2"/>
  <c r="V63" i="2"/>
  <c r="X63" i="2" s="1"/>
  <c r="R63" i="2"/>
  <c r="N63" i="2"/>
  <c r="E63" i="2"/>
  <c r="G63" i="2" s="1"/>
  <c r="K63" i="2" s="1"/>
  <c r="AE62" i="2"/>
  <c r="V62" i="2"/>
  <c r="N62" i="2"/>
  <c r="R62" i="2" s="1"/>
  <c r="E62" i="2"/>
  <c r="G62" i="2" s="1"/>
  <c r="K62" i="2" s="1"/>
  <c r="AE61" i="2"/>
  <c r="V61" i="2"/>
  <c r="X61" i="2" s="1"/>
  <c r="N61" i="2"/>
  <c r="R61" i="2" s="1"/>
  <c r="E61" i="2"/>
  <c r="G61" i="2" s="1"/>
  <c r="K61" i="2" s="1"/>
  <c r="AE60" i="2"/>
  <c r="V60" i="2"/>
  <c r="W60" i="2" s="1"/>
  <c r="N60" i="2"/>
  <c r="R60" i="2" s="1"/>
  <c r="E60" i="2"/>
  <c r="G60" i="2" s="1"/>
  <c r="K60" i="2" s="1"/>
  <c r="AE59" i="2"/>
  <c r="V59" i="2"/>
  <c r="X59" i="2" s="1"/>
  <c r="R59" i="2"/>
  <c r="N59" i="2"/>
  <c r="E59" i="2"/>
  <c r="G59" i="2" s="1"/>
  <c r="K59" i="2" s="1"/>
  <c r="AE58" i="2"/>
  <c r="V58" i="2"/>
  <c r="N58" i="2"/>
  <c r="R58" i="2" s="1"/>
  <c r="E58" i="2"/>
  <c r="G58" i="2" s="1"/>
  <c r="K58" i="2" s="1"/>
  <c r="T58" i="2" s="1"/>
  <c r="AE57" i="2"/>
  <c r="V57" i="2"/>
  <c r="W57" i="2" s="1"/>
  <c r="N57" i="2"/>
  <c r="R57" i="2" s="1"/>
  <c r="E57" i="2"/>
  <c r="G57" i="2" s="1"/>
  <c r="K57" i="2" s="1"/>
  <c r="AE56" i="2"/>
  <c r="V56" i="2"/>
  <c r="N56" i="2"/>
  <c r="R56" i="2" s="1"/>
  <c r="E56" i="2"/>
  <c r="G56" i="2" s="1"/>
  <c r="K56" i="2" s="1"/>
  <c r="AE55" i="2"/>
  <c r="V55" i="2"/>
  <c r="N55" i="2"/>
  <c r="R55" i="2" s="1"/>
  <c r="E55" i="2"/>
  <c r="G55" i="2" s="1"/>
  <c r="K55" i="2" s="1"/>
  <c r="AE54" i="2"/>
  <c r="V54" i="2"/>
  <c r="X54" i="2" s="1"/>
  <c r="N54" i="2"/>
  <c r="R54" i="2" s="1"/>
  <c r="E54" i="2"/>
  <c r="G54" i="2" s="1"/>
  <c r="K54" i="2" s="1"/>
  <c r="AE53" i="2"/>
  <c r="V53" i="2"/>
  <c r="X53" i="2" s="1"/>
  <c r="N53" i="2"/>
  <c r="R53" i="2" s="1"/>
  <c r="E53" i="2"/>
  <c r="G53" i="2" s="1"/>
  <c r="K53" i="2" s="1"/>
  <c r="AE52" i="2"/>
  <c r="V52" i="2"/>
  <c r="W52" i="2" s="1"/>
  <c r="N52" i="2"/>
  <c r="R52" i="2" s="1"/>
  <c r="E52" i="2"/>
  <c r="G52" i="2" s="1"/>
  <c r="K52" i="2" s="1"/>
  <c r="AE51" i="2"/>
  <c r="V51" i="2"/>
  <c r="X51" i="2" s="1"/>
  <c r="N51" i="2"/>
  <c r="R51" i="2" s="1"/>
  <c r="E51" i="2"/>
  <c r="G51" i="2" s="1"/>
  <c r="K51" i="2" s="1"/>
  <c r="T51" i="2" s="1"/>
  <c r="AE50" i="2"/>
  <c r="V50" i="2"/>
  <c r="W50" i="2" s="1"/>
  <c r="N50" i="2"/>
  <c r="R50" i="2" s="1"/>
  <c r="G50" i="2"/>
  <c r="K50" i="2" s="1"/>
  <c r="E50" i="2"/>
  <c r="AE49" i="2"/>
  <c r="V49" i="2"/>
  <c r="X49" i="2" s="1"/>
  <c r="N49" i="2"/>
  <c r="R49" i="2" s="1"/>
  <c r="E49" i="2"/>
  <c r="G49" i="2" s="1"/>
  <c r="K49" i="2" s="1"/>
  <c r="AE48" i="2"/>
  <c r="V48" i="2"/>
  <c r="W48" i="2" s="1"/>
  <c r="N48" i="2"/>
  <c r="R48" i="2" s="1"/>
  <c r="E48" i="2"/>
  <c r="G48" i="2" s="1"/>
  <c r="K48" i="2" s="1"/>
  <c r="AE47" i="2"/>
  <c r="V47" i="2"/>
  <c r="X47" i="2" s="1"/>
  <c r="N47" i="2"/>
  <c r="R47" i="2" s="1"/>
  <c r="E47" i="2"/>
  <c r="G47" i="2" s="1"/>
  <c r="K47" i="2" s="1"/>
  <c r="AE46" i="2"/>
  <c r="V46" i="2"/>
  <c r="N46" i="2"/>
  <c r="R46" i="2" s="1"/>
  <c r="E46" i="2"/>
  <c r="G46" i="2" s="1"/>
  <c r="K46" i="2" s="1"/>
  <c r="AE45" i="2"/>
  <c r="X45" i="2"/>
  <c r="V45" i="2"/>
  <c r="W45" i="2" s="1"/>
  <c r="R45" i="2"/>
  <c r="N45" i="2"/>
  <c r="E45" i="2"/>
  <c r="G45" i="2" s="1"/>
  <c r="K45" i="2" s="1"/>
  <c r="AE44" i="2"/>
  <c r="V44" i="2"/>
  <c r="X44" i="2" s="1"/>
  <c r="N44" i="2"/>
  <c r="R44" i="2" s="1"/>
  <c r="E44" i="2"/>
  <c r="G44" i="2" s="1"/>
  <c r="K44" i="2" s="1"/>
  <c r="T44" i="2" s="1"/>
  <c r="AE43" i="2"/>
  <c r="V43" i="2"/>
  <c r="X43" i="2" s="1"/>
  <c r="N43" i="2"/>
  <c r="R43" i="2" s="1"/>
  <c r="S43" i="2" s="1"/>
  <c r="E43" i="2"/>
  <c r="G43" i="2" s="1"/>
  <c r="K43" i="2" s="1"/>
  <c r="AE42" i="2"/>
  <c r="V42" i="2"/>
  <c r="X42" i="2" s="1"/>
  <c r="N42" i="2"/>
  <c r="R42" i="2" s="1"/>
  <c r="E42" i="2"/>
  <c r="G42" i="2" s="1"/>
  <c r="K42" i="2" s="1"/>
  <c r="AE41" i="2"/>
  <c r="V41" i="2"/>
  <c r="N41" i="2"/>
  <c r="R41" i="2" s="1"/>
  <c r="E41" i="2"/>
  <c r="G41" i="2" s="1"/>
  <c r="K41" i="2" s="1"/>
  <c r="AE40" i="2"/>
  <c r="V40" i="2"/>
  <c r="N40" i="2"/>
  <c r="R40" i="2" s="1"/>
  <c r="E40" i="2"/>
  <c r="G40" i="2" s="1"/>
  <c r="K40" i="2" s="1"/>
  <c r="AE39" i="2"/>
  <c r="V39" i="2"/>
  <c r="W39" i="2" s="1"/>
  <c r="N39" i="2"/>
  <c r="R39" i="2" s="1"/>
  <c r="E39" i="2"/>
  <c r="G39" i="2" s="1"/>
  <c r="K39" i="2" s="1"/>
  <c r="AE38" i="2"/>
  <c r="V38" i="2"/>
  <c r="X38" i="2" s="1"/>
  <c r="N38" i="2"/>
  <c r="R38" i="2" s="1"/>
  <c r="E38" i="2"/>
  <c r="G38" i="2" s="1"/>
  <c r="K38" i="2" s="1"/>
  <c r="T38" i="2" s="1"/>
  <c r="AE37" i="2"/>
  <c r="V37" i="2"/>
  <c r="W37" i="2" s="1"/>
  <c r="N37" i="2"/>
  <c r="R37" i="2" s="1"/>
  <c r="E37" i="2"/>
  <c r="G37" i="2" s="1"/>
  <c r="K37" i="2" s="1"/>
  <c r="AE36" i="2"/>
  <c r="V36" i="2"/>
  <c r="X36" i="2" s="1"/>
  <c r="R36" i="2"/>
  <c r="N36" i="2"/>
  <c r="E36" i="2"/>
  <c r="G36" i="2" s="1"/>
  <c r="K36" i="2" s="1"/>
  <c r="AE35" i="2"/>
  <c r="V35" i="2"/>
  <c r="N35" i="2"/>
  <c r="R35" i="2" s="1"/>
  <c r="E35" i="2"/>
  <c r="G35" i="2" s="1"/>
  <c r="K35" i="2" s="1"/>
  <c r="AE34" i="2"/>
  <c r="V34" i="2"/>
  <c r="W34" i="2" s="1"/>
  <c r="N34" i="2"/>
  <c r="R34" i="2" s="1"/>
  <c r="E34" i="2"/>
  <c r="G34" i="2" s="1"/>
  <c r="K34" i="2" s="1"/>
  <c r="AE33" i="2"/>
  <c r="V33" i="2"/>
  <c r="N33" i="2"/>
  <c r="R33" i="2" s="1"/>
  <c r="E33" i="2"/>
  <c r="G33" i="2" s="1"/>
  <c r="K33" i="2" s="1"/>
  <c r="AE32" i="2"/>
  <c r="V32" i="2"/>
  <c r="N32" i="2"/>
  <c r="R32" i="2" s="1"/>
  <c r="E32" i="2"/>
  <c r="G32" i="2" s="1"/>
  <c r="K32" i="2" s="1"/>
  <c r="AE31" i="2"/>
  <c r="W31" i="2"/>
  <c r="V31" i="2"/>
  <c r="X31" i="2" s="1"/>
  <c r="N31" i="2"/>
  <c r="R31" i="2" s="1"/>
  <c r="E31" i="2"/>
  <c r="G31" i="2" s="1"/>
  <c r="K31" i="2" s="1"/>
  <c r="AE30" i="2"/>
  <c r="V30" i="2"/>
  <c r="W30" i="2" s="1"/>
  <c r="N30" i="2"/>
  <c r="R30" i="2" s="1"/>
  <c r="S30" i="2" s="1"/>
  <c r="E30" i="2"/>
  <c r="G30" i="2" s="1"/>
  <c r="K30" i="2" s="1"/>
  <c r="AE29" i="2"/>
  <c r="V29" i="2"/>
  <c r="X29" i="2" s="1"/>
  <c r="N29" i="2"/>
  <c r="R29" i="2" s="1"/>
  <c r="E29" i="2"/>
  <c r="G29" i="2" s="1"/>
  <c r="K29" i="2" s="1"/>
  <c r="T29" i="2" s="1"/>
  <c r="AE28" i="2"/>
  <c r="V28" i="2"/>
  <c r="X28" i="2" s="1"/>
  <c r="N28" i="2"/>
  <c r="R28" i="2" s="1"/>
  <c r="E28" i="2"/>
  <c r="G28" i="2" s="1"/>
  <c r="K28" i="2" s="1"/>
  <c r="T28" i="2" s="1"/>
  <c r="AE27" i="2"/>
  <c r="V27" i="2"/>
  <c r="N27" i="2"/>
  <c r="R27" i="2" s="1"/>
  <c r="E27" i="2"/>
  <c r="G27" i="2" s="1"/>
  <c r="K27" i="2" s="1"/>
  <c r="AE26" i="2"/>
  <c r="X26" i="2"/>
  <c r="V26" i="2"/>
  <c r="W26" i="2" s="1"/>
  <c r="N26" i="2"/>
  <c r="R26" i="2" s="1"/>
  <c r="E26" i="2"/>
  <c r="G26" i="2" s="1"/>
  <c r="K26" i="2" s="1"/>
  <c r="AE25" i="2"/>
  <c r="V25" i="2"/>
  <c r="X25" i="2" s="1"/>
  <c r="N25" i="2"/>
  <c r="R25" i="2" s="1"/>
  <c r="E25" i="2"/>
  <c r="G25" i="2" s="1"/>
  <c r="K25" i="2" s="1"/>
  <c r="AE24" i="2"/>
  <c r="V24" i="2"/>
  <c r="W24" i="2" s="1"/>
  <c r="N24" i="2"/>
  <c r="R24" i="2" s="1"/>
  <c r="E24" i="2"/>
  <c r="G24" i="2" s="1"/>
  <c r="K24" i="2" s="1"/>
  <c r="T24" i="2" s="1"/>
  <c r="AE23" i="2"/>
  <c r="W23" i="2"/>
  <c r="X23" i="2"/>
  <c r="N23" i="2"/>
  <c r="R23" i="2" s="1"/>
  <c r="E23" i="2"/>
  <c r="G23" i="2" s="1"/>
  <c r="K23" i="2" s="1"/>
  <c r="T23" i="2" s="1"/>
  <c r="AE22" i="2"/>
  <c r="V22" i="2"/>
  <c r="W22" i="2" s="1"/>
  <c r="N22" i="2"/>
  <c r="R22" i="2" s="1"/>
  <c r="E22" i="2"/>
  <c r="G22" i="2" s="1"/>
  <c r="K22" i="2" s="1"/>
  <c r="AE21" i="2"/>
  <c r="V21" i="2"/>
  <c r="X21" i="2" s="1"/>
  <c r="R21" i="2"/>
  <c r="N21" i="2"/>
  <c r="E21" i="2"/>
  <c r="G21" i="2" s="1"/>
  <c r="K21" i="2" s="1"/>
  <c r="AE20" i="2"/>
  <c r="V20" i="2"/>
  <c r="W20" i="2" s="1"/>
  <c r="N20" i="2"/>
  <c r="R20" i="2" s="1"/>
  <c r="E20" i="2"/>
  <c r="G20" i="2" s="1"/>
  <c r="K20" i="2" s="1"/>
  <c r="AE19" i="2"/>
  <c r="V19" i="2"/>
  <c r="X19" i="2" s="1"/>
  <c r="N19" i="2"/>
  <c r="R19" i="2" s="1"/>
  <c r="E19" i="2"/>
  <c r="G19" i="2" s="1"/>
  <c r="K19" i="2" s="1"/>
  <c r="AE18" i="2"/>
  <c r="V18" i="2"/>
  <c r="N18" i="2"/>
  <c r="R18" i="2" s="1"/>
  <c r="E18" i="2"/>
  <c r="G18" i="2" s="1"/>
  <c r="K18" i="2" s="1"/>
  <c r="M18" i="2" s="1"/>
  <c r="AE17" i="2"/>
  <c r="V17" i="2"/>
  <c r="W17" i="2" s="1"/>
  <c r="N17" i="2"/>
  <c r="R17" i="2" s="1"/>
  <c r="E17" i="2"/>
  <c r="G17" i="2" s="1"/>
  <c r="K17" i="2" s="1"/>
  <c r="T17" i="2" s="1"/>
  <c r="AE16" i="2"/>
  <c r="V16" i="2"/>
  <c r="X16" i="2" s="1"/>
  <c r="N16" i="2"/>
  <c r="R16" i="2" s="1"/>
  <c r="E16" i="2"/>
  <c r="G16" i="2" s="1"/>
  <c r="K16" i="2" s="1"/>
  <c r="AE15" i="2"/>
  <c r="V15" i="2"/>
  <c r="X15" i="2" s="1"/>
  <c r="R15" i="2"/>
  <c r="N15" i="2"/>
  <c r="E15" i="2"/>
  <c r="G15" i="2" s="1"/>
  <c r="K15" i="2" s="1"/>
  <c r="AE14" i="2"/>
  <c r="V14" i="2"/>
  <c r="N14" i="2"/>
  <c r="R14" i="2" s="1"/>
  <c r="E14" i="2"/>
  <c r="G14" i="2" s="1"/>
  <c r="K14" i="2" s="1"/>
  <c r="T14" i="2" s="1"/>
  <c r="AE13" i="2"/>
  <c r="V13" i="2"/>
  <c r="W13" i="2" s="1"/>
  <c r="N13" i="2"/>
  <c r="R13" i="2" s="1"/>
  <c r="E13" i="2"/>
  <c r="G13" i="2" s="1"/>
  <c r="K13" i="2" s="1"/>
  <c r="AE12" i="2"/>
  <c r="V12" i="2"/>
  <c r="X12" i="2" s="1"/>
  <c r="N12" i="2"/>
  <c r="R12" i="2" s="1"/>
  <c r="E12" i="2"/>
  <c r="G12" i="2" s="1"/>
  <c r="K12" i="2" s="1"/>
  <c r="AE11" i="2"/>
  <c r="V11" i="2"/>
  <c r="X11" i="2" s="1"/>
  <c r="N11" i="2"/>
  <c r="R11" i="2" s="1"/>
  <c r="E11" i="2"/>
  <c r="G11" i="2" s="1"/>
  <c r="K11" i="2" s="1"/>
  <c r="AE10" i="2"/>
  <c r="V10" i="2"/>
  <c r="N10" i="2"/>
  <c r="R10" i="2" s="1"/>
  <c r="E10" i="2"/>
  <c r="G10" i="2" s="1"/>
  <c r="K10" i="2" s="1"/>
  <c r="AE9" i="2"/>
  <c r="V9" i="2"/>
  <c r="W9" i="2" s="1"/>
  <c r="N9" i="2"/>
  <c r="R9" i="2" s="1"/>
  <c r="E9" i="2"/>
  <c r="G9" i="2" s="1"/>
  <c r="K9" i="2" s="1"/>
  <c r="AE8" i="2"/>
  <c r="V8" i="2"/>
  <c r="X8" i="2" s="1"/>
  <c r="N8" i="2"/>
  <c r="R8" i="2" s="1"/>
  <c r="E8" i="2"/>
  <c r="G8" i="2" s="1"/>
  <c r="K8" i="2" s="1"/>
  <c r="AE7" i="2"/>
  <c r="V7" i="2"/>
  <c r="X7" i="2" s="1"/>
  <c r="N7" i="2"/>
  <c r="R7" i="2" s="1"/>
  <c r="E7" i="2"/>
  <c r="G7" i="2" s="1"/>
  <c r="K7" i="2" s="1"/>
  <c r="AE6" i="2"/>
  <c r="V6" i="2"/>
  <c r="N6" i="2"/>
  <c r="R6" i="2" s="1"/>
  <c r="E6" i="2"/>
  <c r="AG93" i="1"/>
  <c r="AF93" i="1"/>
  <c r="L93" i="1"/>
  <c r="D93" i="1"/>
  <c r="C93" i="1"/>
  <c r="AE92" i="1"/>
  <c r="X92" i="1"/>
  <c r="V92" i="1"/>
  <c r="W92" i="1" s="1"/>
  <c r="R92" i="1"/>
  <c r="N92" i="1"/>
  <c r="E92" i="1"/>
  <c r="G92" i="1" s="1"/>
  <c r="K92" i="1" s="1"/>
  <c r="T92" i="1" s="1"/>
  <c r="AE91" i="1"/>
  <c r="V91" i="1"/>
  <c r="N91" i="1"/>
  <c r="R91" i="1" s="1"/>
  <c r="E91" i="1"/>
  <c r="G91" i="1" s="1"/>
  <c r="K91" i="1" s="1"/>
  <c r="AE90" i="1"/>
  <c r="V90" i="1"/>
  <c r="X90" i="1" s="1"/>
  <c r="N90" i="1"/>
  <c r="R90" i="1" s="1"/>
  <c r="E90" i="1"/>
  <c r="G90" i="1" s="1"/>
  <c r="K90" i="1" s="1"/>
  <c r="AE89" i="1"/>
  <c r="V89" i="1"/>
  <c r="N89" i="1"/>
  <c r="R89" i="1" s="1"/>
  <c r="K89" i="1"/>
  <c r="T89" i="1" s="1"/>
  <c r="E89" i="1"/>
  <c r="G89" i="1" s="1"/>
  <c r="AE88" i="1"/>
  <c r="V88" i="1"/>
  <c r="X88" i="1" s="1"/>
  <c r="N88" i="1"/>
  <c r="R88" i="1" s="1"/>
  <c r="G88" i="1"/>
  <c r="K88" i="1" s="1"/>
  <c r="T88" i="1" s="1"/>
  <c r="E88" i="1"/>
  <c r="AE87" i="1"/>
  <c r="V87" i="1"/>
  <c r="N87" i="1"/>
  <c r="R87" i="1" s="1"/>
  <c r="E87" i="1"/>
  <c r="G87" i="1" s="1"/>
  <c r="K87" i="1" s="1"/>
  <c r="AE86" i="1"/>
  <c r="W86" i="1"/>
  <c r="V86" i="1"/>
  <c r="X86" i="1" s="1"/>
  <c r="N86" i="1"/>
  <c r="R86" i="1" s="1"/>
  <c r="E86" i="1"/>
  <c r="G86" i="1" s="1"/>
  <c r="K86" i="1" s="1"/>
  <c r="AE85" i="1"/>
  <c r="V85" i="1"/>
  <c r="N85" i="1"/>
  <c r="R85" i="1" s="1"/>
  <c r="E85" i="1"/>
  <c r="G85" i="1" s="1"/>
  <c r="K85" i="1" s="1"/>
  <c r="T85" i="1" s="1"/>
  <c r="AE84" i="1"/>
  <c r="V84" i="1"/>
  <c r="W84" i="1" s="1"/>
  <c r="N84" i="1"/>
  <c r="R84" i="1" s="1"/>
  <c r="E84" i="1"/>
  <c r="G84" i="1" s="1"/>
  <c r="K84" i="1" s="1"/>
  <c r="T84" i="1" s="1"/>
  <c r="AE83" i="1"/>
  <c r="V83" i="1"/>
  <c r="X83" i="1" s="1"/>
  <c r="N83" i="1"/>
  <c r="R83" i="1" s="1"/>
  <c r="E83" i="1"/>
  <c r="G83" i="1" s="1"/>
  <c r="K83" i="1" s="1"/>
  <c r="T83" i="1" s="1"/>
  <c r="AE82" i="1"/>
  <c r="V82" i="1"/>
  <c r="W82" i="1" s="1"/>
  <c r="N82" i="1"/>
  <c r="R82" i="1" s="1"/>
  <c r="G82" i="1"/>
  <c r="K82" i="1" s="1"/>
  <c r="E82" i="1"/>
  <c r="AE81" i="1"/>
  <c r="V81" i="1"/>
  <c r="X81" i="1" s="1"/>
  <c r="N81" i="1"/>
  <c r="R81" i="1" s="1"/>
  <c r="E81" i="1"/>
  <c r="G81" i="1" s="1"/>
  <c r="K81" i="1" s="1"/>
  <c r="AE80" i="1"/>
  <c r="V80" i="1"/>
  <c r="N80" i="1"/>
  <c r="R80" i="1" s="1"/>
  <c r="E80" i="1"/>
  <c r="G80" i="1" s="1"/>
  <c r="K80" i="1" s="1"/>
  <c r="AE79" i="1"/>
  <c r="V79" i="1"/>
  <c r="W79" i="1" s="1"/>
  <c r="N79" i="1"/>
  <c r="R79" i="1" s="1"/>
  <c r="S79" i="1" s="1"/>
  <c r="E79" i="1"/>
  <c r="G79" i="1" s="1"/>
  <c r="K79" i="1" s="1"/>
  <c r="AE78" i="1"/>
  <c r="V78" i="1"/>
  <c r="W78" i="1" s="1"/>
  <c r="N78" i="1"/>
  <c r="R78" i="1" s="1"/>
  <c r="E78" i="1"/>
  <c r="G78" i="1" s="1"/>
  <c r="K78" i="1" s="1"/>
  <c r="AE77" i="1"/>
  <c r="V77" i="1"/>
  <c r="W77" i="1" s="1"/>
  <c r="N77" i="1"/>
  <c r="R77" i="1" s="1"/>
  <c r="E77" i="1"/>
  <c r="G77" i="1" s="1"/>
  <c r="K77" i="1" s="1"/>
  <c r="AE76" i="1"/>
  <c r="V76" i="1"/>
  <c r="W76" i="1" s="1"/>
  <c r="N76" i="1"/>
  <c r="R76" i="1" s="1"/>
  <c r="E76" i="1"/>
  <c r="G76" i="1" s="1"/>
  <c r="K76" i="1" s="1"/>
  <c r="AE75" i="1"/>
  <c r="V75" i="1"/>
  <c r="X75" i="1" s="1"/>
  <c r="N75" i="1"/>
  <c r="R75" i="1" s="1"/>
  <c r="E75" i="1"/>
  <c r="G75" i="1" s="1"/>
  <c r="K75" i="1" s="1"/>
  <c r="T75" i="1" s="1"/>
  <c r="AE74" i="1"/>
  <c r="V74" i="1"/>
  <c r="N74" i="1"/>
  <c r="R74" i="1" s="1"/>
  <c r="G74" i="1"/>
  <c r="K74" i="1" s="1"/>
  <c r="S74" i="1" s="1"/>
  <c r="E74" i="1"/>
  <c r="AE73" i="1"/>
  <c r="V73" i="1"/>
  <c r="X73" i="1" s="1"/>
  <c r="N73" i="1"/>
  <c r="R73" i="1" s="1"/>
  <c r="E73" i="1"/>
  <c r="G73" i="1" s="1"/>
  <c r="K73" i="1" s="1"/>
  <c r="T73" i="1" s="1"/>
  <c r="AE72" i="1"/>
  <c r="V72" i="1"/>
  <c r="N72" i="1"/>
  <c r="R72" i="1" s="1"/>
  <c r="E72" i="1"/>
  <c r="G72" i="1" s="1"/>
  <c r="K72" i="1" s="1"/>
  <c r="AE71" i="1"/>
  <c r="V71" i="1"/>
  <c r="W71" i="1" s="1"/>
  <c r="N71" i="1"/>
  <c r="R71" i="1" s="1"/>
  <c r="E71" i="1"/>
  <c r="G71" i="1" s="1"/>
  <c r="K71" i="1" s="1"/>
  <c r="AE70" i="1"/>
  <c r="V70" i="1"/>
  <c r="X70" i="1" s="1"/>
  <c r="N70" i="1"/>
  <c r="R70" i="1" s="1"/>
  <c r="E70" i="1"/>
  <c r="G70" i="1" s="1"/>
  <c r="K70" i="1" s="1"/>
  <c r="AE69" i="1"/>
  <c r="V69" i="1"/>
  <c r="X69" i="1" s="1"/>
  <c r="N69" i="1"/>
  <c r="R69" i="1" s="1"/>
  <c r="E69" i="1"/>
  <c r="G69" i="1" s="1"/>
  <c r="K69" i="1" s="1"/>
  <c r="AE68" i="1"/>
  <c r="V68" i="1"/>
  <c r="X68" i="1" s="1"/>
  <c r="N68" i="1"/>
  <c r="R68" i="1" s="1"/>
  <c r="E68" i="1"/>
  <c r="G68" i="1" s="1"/>
  <c r="K68" i="1" s="1"/>
  <c r="T68" i="1" s="1"/>
  <c r="Y68" i="1" s="1"/>
  <c r="AE67" i="1"/>
  <c r="V67" i="1"/>
  <c r="R67" i="1"/>
  <c r="N67" i="1"/>
  <c r="E67" i="1"/>
  <c r="G67" i="1" s="1"/>
  <c r="K67" i="1" s="1"/>
  <c r="T67" i="1" s="1"/>
  <c r="AE66" i="1"/>
  <c r="V66" i="1"/>
  <c r="N66" i="1"/>
  <c r="R66" i="1" s="1"/>
  <c r="E66" i="1"/>
  <c r="G66" i="1" s="1"/>
  <c r="K66" i="1" s="1"/>
  <c r="AE65" i="1"/>
  <c r="V65" i="1"/>
  <c r="X65" i="1" s="1"/>
  <c r="N65" i="1"/>
  <c r="R65" i="1" s="1"/>
  <c r="E65" i="1"/>
  <c r="G65" i="1" s="1"/>
  <c r="K65" i="1" s="1"/>
  <c r="AE64" i="1"/>
  <c r="V64" i="1"/>
  <c r="X64" i="1" s="1"/>
  <c r="N64" i="1"/>
  <c r="R64" i="1" s="1"/>
  <c r="E64" i="1"/>
  <c r="G64" i="1" s="1"/>
  <c r="K64" i="1" s="1"/>
  <c r="AE63" i="1"/>
  <c r="V63" i="1"/>
  <c r="N63" i="1"/>
  <c r="R63" i="1" s="1"/>
  <c r="E63" i="1"/>
  <c r="G63" i="1" s="1"/>
  <c r="K63" i="1" s="1"/>
  <c r="AE62" i="1"/>
  <c r="V62" i="1"/>
  <c r="X62" i="1" s="1"/>
  <c r="N62" i="1"/>
  <c r="R62" i="1" s="1"/>
  <c r="S62" i="1" s="1"/>
  <c r="E62" i="1"/>
  <c r="G62" i="1" s="1"/>
  <c r="K62" i="1" s="1"/>
  <c r="AE61" i="1"/>
  <c r="V61" i="1"/>
  <c r="W61" i="1" s="1"/>
  <c r="N61" i="1"/>
  <c r="R61" i="1" s="1"/>
  <c r="E61" i="1"/>
  <c r="G61" i="1" s="1"/>
  <c r="K61" i="1" s="1"/>
  <c r="AE60" i="1"/>
  <c r="V60" i="1"/>
  <c r="W60" i="1" s="1"/>
  <c r="N60" i="1"/>
  <c r="R60" i="1" s="1"/>
  <c r="E60" i="1"/>
  <c r="G60" i="1" s="1"/>
  <c r="K60" i="1" s="1"/>
  <c r="AE59" i="1"/>
  <c r="V59" i="1"/>
  <c r="W59" i="1" s="1"/>
  <c r="N59" i="1"/>
  <c r="R59" i="1" s="1"/>
  <c r="E59" i="1"/>
  <c r="G59" i="1" s="1"/>
  <c r="K59" i="1" s="1"/>
  <c r="AE58" i="1"/>
  <c r="V58" i="1"/>
  <c r="X58" i="1" s="1"/>
  <c r="N58" i="1"/>
  <c r="R58" i="1" s="1"/>
  <c r="E58" i="1"/>
  <c r="G58" i="1" s="1"/>
  <c r="K58" i="1" s="1"/>
  <c r="T58" i="1" s="1"/>
  <c r="AE57" i="1"/>
  <c r="V57" i="1"/>
  <c r="W57" i="1" s="1"/>
  <c r="N57" i="1"/>
  <c r="R57" i="1" s="1"/>
  <c r="E57" i="1"/>
  <c r="G57" i="1" s="1"/>
  <c r="K57" i="1" s="1"/>
  <c r="T57" i="1" s="1"/>
  <c r="AE56" i="1"/>
  <c r="V56" i="1"/>
  <c r="X56" i="1" s="1"/>
  <c r="R56" i="1"/>
  <c r="N56" i="1"/>
  <c r="E56" i="1"/>
  <c r="G56" i="1" s="1"/>
  <c r="K56" i="1" s="1"/>
  <c r="T56" i="1" s="1"/>
  <c r="AE55" i="1"/>
  <c r="V55" i="1"/>
  <c r="N55" i="1"/>
  <c r="R55" i="1" s="1"/>
  <c r="E55" i="1"/>
  <c r="G55" i="1" s="1"/>
  <c r="K55" i="1" s="1"/>
  <c r="AE54" i="1"/>
  <c r="V54" i="1"/>
  <c r="X54" i="1" s="1"/>
  <c r="N54" i="1"/>
  <c r="R54" i="1" s="1"/>
  <c r="E54" i="1"/>
  <c r="G54" i="1" s="1"/>
  <c r="K54" i="1" s="1"/>
  <c r="T54" i="1" s="1"/>
  <c r="AE53" i="1"/>
  <c r="V53" i="1"/>
  <c r="N53" i="1"/>
  <c r="R53" i="1" s="1"/>
  <c r="E53" i="1"/>
  <c r="G53" i="1" s="1"/>
  <c r="K53" i="1" s="1"/>
  <c r="AE52" i="1"/>
  <c r="V52" i="1"/>
  <c r="X52" i="1" s="1"/>
  <c r="N52" i="1"/>
  <c r="R52" i="1" s="1"/>
  <c r="E52" i="1"/>
  <c r="G52" i="1" s="1"/>
  <c r="K52" i="1" s="1"/>
  <c r="AE51" i="1"/>
  <c r="V51" i="1"/>
  <c r="X51" i="1" s="1"/>
  <c r="N51" i="1"/>
  <c r="R51" i="1" s="1"/>
  <c r="E51" i="1"/>
  <c r="G51" i="1" s="1"/>
  <c r="K51" i="1" s="1"/>
  <c r="T51" i="1" s="1"/>
  <c r="Y51" i="1" s="1"/>
  <c r="AE50" i="1"/>
  <c r="V50" i="1"/>
  <c r="X50" i="1" s="1"/>
  <c r="N50" i="1"/>
  <c r="R50" i="1" s="1"/>
  <c r="E50" i="1"/>
  <c r="G50" i="1" s="1"/>
  <c r="K50" i="1" s="1"/>
  <c r="AE49" i="1"/>
  <c r="V49" i="1"/>
  <c r="N49" i="1"/>
  <c r="R49" i="1" s="1"/>
  <c r="S49" i="1" s="1"/>
  <c r="E49" i="1"/>
  <c r="G49" i="1" s="1"/>
  <c r="K49" i="1" s="1"/>
  <c r="AE48" i="1"/>
  <c r="V48" i="1"/>
  <c r="N48" i="1"/>
  <c r="R48" i="1" s="1"/>
  <c r="E48" i="1"/>
  <c r="G48" i="1" s="1"/>
  <c r="K48" i="1" s="1"/>
  <c r="AE47" i="1"/>
  <c r="V47" i="1"/>
  <c r="X47" i="1" s="1"/>
  <c r="N47" i="1"/>
  <c r="R47" i="1" s="1"/>
  <c r="E47" i="1"/>
  <c r="G47" i="1" s="1"/>
  <c r="K47" i="1" s="1"/>
  <c r="AE46" i="1"/>
  <c r="V46" i="1"/>
  <c r="X46" i="1" s="1"/>
  <c r="N46" i="1"/>
  <c r="R46" i="1" s="1"/>
  <c r="E46" i="1"/>
  <c r="G46" i="1" s="1"/>
  <c r="K46" i="1" s="1"/>
  <c r="AE45" i="1"/>
  <c r="V45" i="1"/>
  <c r="X45" i="1" s="1"/>
  <c r="N45" i="1"/>
  <c r="R45" i="1" s="1"/>
  <c r="K45" i="1"/>
  <c r="E45" i="1"/>
  <c r="G45" i="1" s="1"/>
  <c r="AE44" i="1"/>
  <c r="V44" i="1"/>
  <c r="X44" i="1" s="1"/>
  <c r="N44" i="1"/>
  <c r="R44" i="1" s="1"/>
  <c r="E44" i="1"/>
  <c r="G44" i="1" s="1"/>
  <c r="K44" i="1" s="1"/>
  <c r="AE43" i="1"/>
  <c r="V43" i="1"/>
  <c r="X43" i="1" s="1"/>
  <c r="N43" i="1"/>
  <c r="R43" i="1" s="1"/>
  <c r="E43" i="1"/>
  <c r="G43" i="1" s="1"/>
  <c r="K43" i="1" s="1"/>
  <c r="T43" i="1" s="1"/>
  <c r="AE42" i="1"/>
  <c r="V42" i="1"/>
  <c r="X42" i="1" s="1"/>
  <c r="N42" i="1"/>
  <c r="R42" i="1" s="1"/>
  <c r="E42" i="1"/>
  <c r="G42" i="1" s="1"/>
  <c r="K42" i="1" s="1"/>
  <c r="AE41" i="1"/>
  <c r="V41" i="1"/>
  <c r="W41" i="1" s="1"/>
  <c r="N41" i="1"/>
  <c r="R41" i="1" s="1"/>
  <c r="E41" i="1"/>
  <c r="G41" i="1" s="1"/>
  <c r="K41" i="1" s="1"/>
  <c r="AE40" i="1"/>
  <c r="V40" i="1"/>
  <c r="N40" i="1"/>
  <c r="R40" i="1" s="1"/>
  <c r="E40" i="1"/>
  <c r="G40" i="1" s="1"/>
  <c r="K40" i="1" s="1"/>
  <c r="AE39" i="1"/>
  <c r="V39" i="1"/>
  <c r="W39" i="1" s="1"/>
  <c r="N39" i="1"/>
  <c r="R39" i="1" s="1"/>
  <c r="E39" i="1"/>
  <c r="G39" i="1" s="1"/>
  <c r="K39" i="1" s="1"/>
  <c r="T39" i="1" s="1"/>
  <c r="AE38" i="1"/>
  <c r="X38" i="1"/>
  <c r="V38" i="1"/>
  <c r="W38" i="1" s="1"/>
  <c r="R38" i="1"/>
  <c r="N38" i="1"/>
  <c r="E38" i="1"/>
  <c r="G38" i="1" s="1"/>
  <c r="K38" i="1" s="1"/>
  <c r="AE37" i="1"/>
  <c r="V37" i="1"/>
  <c r="N37" i="1"/>
  <c r="R37" i="1" s="1"/>
  <c r="E37" i="1"/>
  <c r="G37" i="1" s="1"/>
  <c r="K37" i="1" s="1"/>
  <c r="AE36" i="1"/>
  <c r="V36" i="1"/>
  <c r="X36" i="1" s="1"/>
  <c r="N36" i="1"/>
  <c r="R36" i="1" s="1"/>
  <c r="E36" i="1"/>
  <c r="G36" i="1" s="1"/>
  <c r="K36" i="1" s="1"/>
  <c r="AE35" i="1"/>
  <c r="V35" i="1"/>
  <c r="W35" i="1" s="1"/>
  <c r="N35" i="1"/>
  <c r="R35" i="1" s="1"/>
  <c r="E35" i="1"/>
  <c r="G35" i="1" s="1"/>
  <c r="K35" i="1" s="1"/>
  <c r="AE34" i="1"/>
  <c r="V34" i="1"/>
  <c r="N34" i="1"/>
  <c r="R34" i="1" s="1"/>
  <c r="E34" i="1"/>
  <c r="G34" i="1" s="1"/>
  <c r="K34" i="1" s="1"/>
  <c r="AE33" i="1"/>
  <c r="V33" i="1"/>
  <c r="W33" i="1" s="1"/>
  <c r="N33" i="1"/>
  <c r="R33" i="1" s="1"/>
  <c r="E33" i="1"/>
  <c r="G33" i="1" s="1"/>
  <c r="K33" i="1" s="1"/>
  <c r="AE32" i="1"/>
  <c r="V32" i="1"/>
  <c r="X32" i="1" s="1"/>
  <c r="N32" i="1"/>
  <c r="R32" i="1" s="1"/>
  <c r="E32" i="1"/>
  <c r="G32" i="1" s="1"/>
  <c r="K32" i="1" s="1"/>
  <c r="AE31" i="1"/>
  <c r="V31" i="1"/>
  <c r="X31" i="1" s="1"/>
  <c r="N31" i="1"/>
  <c r="R31" i="1" s="1"/>
  <c r="E31" i="1"/>
  <c r="G31" i="1" s="1"/>
  <c r="K31" i="1" s="1"/>
  <c r="AE30" i="1"/>
  <c r="V30" i="1"/>
  <c r="X30" i="1" s="1"/>
  <c r="N30" i="1"/>
  <c r="R30" i="1" s="1"/>
  <c r="E30" i="1"/>
  <c r="G30" i="1" s="1"/>
  <c r="K30" i="1" s="1"/>
  <c r="AE29" i="1"/>
  <c r="V29" i="1"/>
  <c r="N29" i="1"/>
  <c r="R29" i="1" s="1"/>
  <c r="E29" i="1"/>
  <c r="G29" i="1" s="1"/>
  <c r="K29" i="1" s="1"/>
  <c r="T29" i="1" s="1"/>
  <c r="AE28" i="1"/>
  <c r="V28" i="1"/>
  <c r="X28" i="1" s="1"/>
  <c r="R28" i="1"/>
  <c r="N28" i="1"/>
  <c r="E28" i="1"/>
  <c r="G28" i="1" s="1"/>
  <c r="K28" i="1" s="1"/>
  <c r="AE27" i="1"/>
  <c r="V27" i="1"/>
  <c r="X27" i="1" s="1"/>
  <c r="N27" i="1"/>
  <c r="R27" i="1" s="1"/>
  <c r="E27" i="1"/>
  <c r="G27" i="1" s="1"/>
  <c r="K27" i="1" s="1"/>
  <c r="AE26" i="1"/>
  <c r="V26" i="1"/>
  <c r="X26" i="1" s="1"/>
  <c r="R26" i="1"/>
  <c r="N26" i="1"/>
  <c r="G26" i="1"/>
  <c r="K26" i="1" s="1"/>
  <c r="E26" i="1"/>
  <c r="AE25" i="1"/>
  <c r="V25" i="1"/>
  <c r="N25" i="1"/>
  <c r="R25" i="1" s="1"/>
  <c r="E25" i="1"/>
  <c r="G25" i="1" s="1"/>
  <c r="K25" i="1" s="1"/>
  <c r="T25" i="1" s="1"/>
  <c r="AE24" i="1"/>
  <c r="V24" i="1"/>
  <c r="W24" i="1" s="1"/>
  <c r="N24" i="1"/>
  <c r="R24" i="1" s="1"/>
  <c r="E24" i="1"/>
  <c r="G24" i="1" s="1"/>
  <c r="K24" i="1" s="1"/>
  <c r="S24" i="1" s="1"/>
  <c r="AE23" i="1"/>
  <c r="V23" i="1"/>
  <c r="W23" i="1" s="1"/>
  <c r="N23" i="1"/>
  <c r="R23" i="1" s="1"/>
  <c r="S23" i="1" s="1"/>
  <c r="E23" i="1"/>
  <c r="G23" i="1" s="1"/>
  <c r="K23" i="1" s="1"/>
  <c r="AE22" i="1"/>
  <c r="V22" i="1"/>
  <c r="W22" i="1" s="1"/>
  <c r="N22" i="1"/>
  <c r="R22" i="1" s="1"/>
  <c r="E22" i="1"/>
  <c r="G22" i="1" s="1"/>
  <c r="K22" i="1" s="1"/>
  <c r="AE21" i="1"/>
  <c r="V21" i="1"/>
  <c r="W21" i="1" s="1"/>
  <c r="N21" i="1"/>
  <c r="R21" i="1" s="1"/>
  <c r="E21" i="1"/>
  <c r="G21" i="1" s="1"/>
  <c r="K21" i="1" s="1"/>
  <c r="AE20" i="1"/>
  <c r="V20" i="1"/>
  <c r="N20" i="1"/>
  <c r="R20" i="1" s="1"/>
  <c r="E20" i="1"/>
  <c r="G20" i="1" s="1"/>
  <c r="K20" i="1" s="1"/>
  <c r="AE19" i="1"/>
  <c r="V19" i="1"/>
  <c r="X19" i="1" s="1"/>
  <c r="N19" i="1"/>
  <c r="R19" i="1" s="1"/>
  <c r="E19" i="1"/>
  <c r="G19" i="1" s="1"/>
  <c r="K19" i="1" s="1"/>
  <c r="AE18" i="1"/>
  <c r="V18" i="1"/>
  <c r="X18" i="1" s="1"/>
  <c r="N18" i="1"/>
  <c r="R18" i="1" s="1"/>
  <c r="E18" i="1"/>
  <c r="G18" i="1" s="1"/>
  <c r="K18" i="1" s="1"/>
  <c r="AE17" i="1"/>
  <c r="V17" i="1"/>
  <c r="N17" i="1"/>
  <c r="R17" i="1" s="1"/>
  <c r="E17" i="1"/>
  <c r="G17" i="1" s="1"/>
  <c r="K17" i="1" s="1"/>
  <c r="AE16" i="1"/>
  <c r="V16" i="1"/>
  <c r="X16" i="1" s="1"/>
  <c r="N16" i="1"/>
  <c r="R16" i="1" s="1"/>
  <c r="E16" i="1"/>
  <c r="G16" i="1" s="1"/>
  <c r="K16" i="1" s="1"/>
  <c r="M16" i="1" s="1"/>
  <c r="AE15" i="1"/>
  <c r="V15" i="1"/>
  <c r="N15" i="1"/>
  <c r="R15" i="1" s="1"/>
  <c r="K15" i="1"/>
  <c r="E15" i="1"/>
  <c r="G15" i="1" s="1"/>
  <c r="AE14" i="1"/>
  <c r="V14" i="1"/>
  <c r="X14" i="1" s="1"/>
  <c r="N14" i="1"/>
  <c r="R14" i="1" s="1"/>
  <c r="E14" i="1"/>
  <c r="G14" i="1" s="1"/>
  <c r="K14" i="1" s="1"/>
  <c r="AE13" i="1"/>
  <c r="V13" i="1"/>
  <c r="W13" i="1" s="1"/>
  <c r="N13" i="1"/>
  <c r="R13" i="1" s="1"/>
  <c r="E13" i="1"/>
  <c r="G13" i="1" s="1"/>
  <c r="K13" i="1" s="1"/>
  <c r="AE12" i="1"/>
  <c r="W12" i="1"/>
  <c r="V12" i="1"/>
  <c r="X12" i="1" s="1"/>
  <c r="N12" i="1"/>
  <c r="R12" i="1" s="1"/>
  <c r="E12" i="1"/>
  <c r="G12" i="1" s="1"/>
  <c r="K12" i="1" s="1"/>
  <c r="AE11" i="1"/>
  <c r="W11" i="1"/>
  <c r="V11" i="1"/>
  <c r="X11" i="1" s="1"/>
  <c r="N11" i="1"/>
  <c r="R11" i="1" s="1"/>
  <c r="E11" i="1"/>
  <c r="G11" i="1" s="1"/>
  <c r="K11" i="1" s="1"/>
  <c r="AE10" i="1"/>
  <c r="V10" i="1"/>
  <c r="X10" i="1" s="1"/>
  <c r="N10" i="1"/>
  <c r="R10" i="1" s="1"/>
  <c r="E10" i="1"/>
  <c r="G10" i="1" s="1"/>
  <c r="K10" i="1" s="1"/>
  <c r="T10" i="1" s="1"/>
  <c r="AE9" i="1"/>
  <c r="V9" i="1"/>
  <c r="W9" i="1" s="1"/>
  <c r="N9" i="1"/>
  <c r="R9" i="1" s="1"/>
  <c r="S9" i="1" s="1"/>
  <c r="E9" i="1"/>
  <c r="G9" i="1" s="1"/>
  <c r="K9" i="1" s="1"/>
  <c r="AE8" i="1"/>
  <c r="V8" i="1"/>
  <c r="X8" i="1" s="1"/>
  <c r="N8" i="1"/>
  <c r="R8" i="1" s="1"/>
  <c r="E8" i="1"/>
  <c r="G8" i="1" s="1"/>
  <c r="K8" i="1" s="1"/>
  <c r="AE7" i="1"/>
  <c r="V7" i="1"/>
  <c r="W7" i="1" s="1"/>
  <c r="N7" i="1"/>
  <c r="R7" i="1" s="1"/>
  <c r="E7" i="1"/>
  <c r="AE6" i="1"/>
  <c r="V6" i="1"/>
  <c r="W6" i="1" s="1"/>
  <c r="N6" i="1"/>
  <c r="R6" i="1" s="1"/>
  <c r="E6" i="1"/>
  <c r="G6" i="1" s="1"/>
  <c r="K6" i="1" s="1"/>
  <c r="W28" i="1" l="1"/>
  <c r="S54" i="1"/>
  <c r="W68" i="1"/>
  <c r="X13" i="1"/>
  <c r="X35" i="1"/>
  <c r="S58" i="1"/>
  <c r="S75" i="1"/>
  <c r="S16" i="1"/>
  <c r="S28" i="1"/>
  <c r="Y92" i="1"/>
  <c r="Z92" i="1" s="1"/>
  <c r="W25" i="2"/>
  <c r="W74" i="2"/>
  <c r="S28" i="2"/>
  <c r="S36" i="2"/>
  <c r="W8" i="2"/>
  <c r="S34" i="2"/>
  <c r="X30" i="2"/>
  <c r="S13" i="2"/>
  <c r="W49" i="2"/>
  <c r="W70" i="2"/>
  <c r="X24" i="2"/>
  <c r="Y91" i="2"/>
  <c r="Z91" i="2" s="1"/>
  <c r="X21" i="1"/>
  <c r="W62" i="1"/>
  <c r="S65" i="1"/>
  <c r="X79" i="1"/>
  <c r="X84" i="1"/>
  <c r="X48" i="2"/>
  <c r="W53" i="2"/>
  <c r="W63" i="2"/>
  <c r="G96" i="6"/>
  <c r="S14" i="1"/>
  <c r="S19" i="1"/>
  <c r="X57" i="1"/>
  <c r="Y57" i="1" s="1"/>
  <c r="Z57" i="1" s="1"/>
  <c r="S60" i="1"/>
  <c r="W65" i="1"/>
  <c r="S89" i="1"/>
  <c r="S33" i="2"/>
  <c r="S55" i="1"/>
  <c r="M85" i="1"/>
  <c r="W28" i="2"/>
  <c r="Y51" i="2"/>
  <c r="S54" i="2"/>
  <c r="W59" i="2"/>
  <c r="X78" i="2"/>
  <c r="W27" i="1"/>
  <c r="W50" i="1"/>
  <c r="S85" i="1"/>
  <c r="S31" i="2"/>
  <c r="C61" i="6"/>
  <c r="G77" i="6"/>
  <c r="G90" i="6"/>
  <c r="S8" i="1"/>
  <c r="W32" i="1"/>
  <c r="S40" i="1"/>
  <c r="W70" i="1"/>
  <c r="Y29" i="2"/>
  <c r="B33" i="6"/>
  <c r="D33" i="6" s="1"/>
  <c r="S35" i="1"/>
  <c r="W8" i="1"/>
  <c r="S51" i="1"/>
  <c r="Z51" i="1" s="1"/>
  <c r="AB51" i="1" s="1"/>
  <c r="W91" i="2"/>
  <c r="D126" i="6"/>
  <c r="S59" i="2"/>
  <c r="S45" i="2"/>
  <c r="S44" i="1"/>
  <c r="W46" i="1"/>
  <c r="W51" i="1"/>
  <c r="S76" i="1"/>
  <c r="W88" i="1"/>
  <c r="W90" i="1"/>
  <c r="X34" i="2"/>
  <c r="W82" i="2"/>
  <c r="S38" i="1"/>
  <c r="S59" i="1"/>
  <c r="G18" i="6"/>
  <c r="G154" i="6"/>
  <c r="G236" i="6"/>
  <c r="S43" i="1"/>
  <c r="AA43" i="1"/>
  <c r="T9" i="2"/>
  <c r="M9" i="2"/>
  <c r="Y54" i="1"/>
  <c r="S24" i="2"/>
  <c r="W76" i="2"/>
  <c r="X76" i="2"/>
  <c r="B38" i="6"/>
  <c r="X7" i="1"/>
  <c r="S37" i="1"/>
  <c r="S53" i="1"/>
  <c r="Y56" i="1"/>
  <c r="T65" i="1"/>
  <c r="Y65" i="1" s="1"/>
  <c r="X71" i="1"/>
  <c r="T74" i="1"/>
  <c r="AA74" i="1" s="1"/>
  <c r="X82" i="1"/>
  <c r="S12" i="2"/>
  <c r="S44" i="2"/>
  <c r="Q6" i="5"/>
  <c r="O6" i="5"/>
  <c r="S88" i="1"/>
  <c r="S20" i="1"/>
  <c r="X23" i="1"/>
  <c r="W26" i="1"/>
  <c r="W45" i="1"/>
  <c r="X53" i="1"/>
  <c r="W53" i="1"/>
  <c r="W74" i="1"/>
  <c r="X74" i="1"/>
  <c r="S81" i="1"/>
  <c r="Y70" i="2"/>
  <c r="G24" i="6"/>
  <c r="Y24" i="2"/>
  <c r="W16" i="1"/>
  <c r="W12" i="2"/>
  <c r="M14" i="2"/>
  <c r="S39" i="2"/>
  <c r="T48" i="2"/>
  <c r="Y48" i="2" s="1"/>
  <c r="S48" i="2"/>
  <c r="Z48" i="2" s="1"/>
  <c r="X66" i="2"/>
  <c r="W66" i="2"/>
  <c r="C110" i="6"/>
  <c r="F155" i="6"/>
  <c r="D155" i="6"/>
  <c r="T52" i="2"/>
  <c r="AA52" i="2" s="1"/>
  <c r="S52" i="2"/>
  <c r="X40" i="1"/>
  <c r="W40" i="1"/>
  <c r="S45" i="1"/>
  <c r="W54" i="1"/>
  <c r="X67" i="1"/>
  <c r="Y67" i="1" s="1"/>
  <c r="W67" i="1"/>
  <c r="S57" i="2"/>
  <c r="W69" i="1"/>
  <c r="S72" i="1"/>
  <c r="W68" i="2"/>
  <c r="Y92" i="2"/>
  <c r="F210" i="6"/>
  <c r="D210" i="6"/>
  <c r="S25" i="1"/>
  <c r="S33" i="1"/>
  <c r="Y43" i="1"/>
  <c r="S57" i="1"/>
  <c r="M64" i="1"/>
  <c r="T64" i="1"/>
  <c r="AA64" i="1" s="1"/>
  <c r="W11" i="2"/>
  <c r="X22" i="2"/>
  <c r="M64" i="2"/>
  <c r="T64" i="2"/>
  <c r="Y64" i="2" s="1"/>
  <c r="W84" i="2"/>
  <c r="X84" i="2"/>
  <c r="S89" i="2"/>
  <c r="S92" i="2"/>
  <c r="B27" i="6"/>
  <c r="D27" i="6" s="1"/>
  <c r="G71" i="6"/>
  <c r="G94" i="6"/>
  <c r="B145" i="6"/>
  <c r="D186" i="6"/>
  <c r="B202" i="6"/>
  <c r="Y44" i="2"/>
  <c r="F186" i="6"/>
  <c r="Y73" i="1"/>
  <c r="S84" i="1"/>
  <c r="S14" i="2"/>
  <c r="W36" i="2"/>
  <c r="W54" i="2"/>
  <c r="W85" i="2"/>
  <c r="B62" i="6"/>
  <c r="S42" i="2"/>
  <c r="D78" i="6"/>
  <c r="G78" i="6" s="1"/>
  <c r="X6" i="1"/>
  <c r="W18" i="1"/>
  <c r="W30" i="1"/>
  <c r="S39" i="1"/>
  <c r="W43" i="1"/>
  <c r="W52" i="1"/>
  <c r="W15" i="2"/>
  <c r="W16" i="2"/>
  <c r="X17" i="2"/>
  <c r="Y17" i="2" s="1"/>
  <c r="W42" i="2"/>
  <c r="W43" i="2"/>
  <c r="X50" i="2"/>
  <c r="X57" i="2"/>
  <c r="W61" i="2"/>
  <c r="W64" i="2"/>
  <c r="W89" i="2"/>
  <c r="D177" i="6"/>
  <c r="C174" i="6"/>
  <c r="F214" i="6"/>
  <c r="G214" i="6" s="1"/>
  <c r="B223" i="6"/>
  <c r="S10" i="1"/>
  <c r="S83" i="1"/>
  <c r="Y84" i="1"/>
  <c r="Z84" i="1" s="1"/>
  <c r="S92" i="1"/>
  <c r="X20" i="2"/>
  <c r="S38" i="2"/>
  <c r="X39" i="2"/>
  <c r="S56" i="2"/>
  <c r="S79" i="2"/>
  <c r="S88" i="2"/>
  <c r="E90" i="4"/>
  <c r="D107" i="6"/>
  <c r="D113" i="6"/>
  <c r="W72" i="2"/>
  <c r="W80" i="2"/>
  <c r="S91" i="2"/>
  <c r="B19" i="6"/>
  <c r="D19" i="6" s="1"/>
  <c r="C32" i="6"/>
  <c r="B159" i="6"/>
  <c r="C206" i="6"/>
  <c r="Y83" i="1"/>
  <c r="Y88" i="1"/>
  <c r="Z88" i="1" s="1"/>
  <c r="Y38" i="2"/>
  <c r="S41" i="2"/>
  <c r="S68" i="1"/>
  <c r="X9" i="2"/>
  <c r="X13" i="2"/>
  <c r="W19" i="2"/>
  <c r="S22" i="2"/>
  <c r="X52" i="2"/>
  <c r="C17" i="6"/>
  <c r="B49" i="6"/>
  <c r="F49" i="6" s="1"/>
  <c r="B91" i="6"/>
  <c r="G105" i="6"/>
  <c r="G111" i="6"/>
  <c r="B116" i="6"/>
  <c r="G162" i="6"/>
  <c r="G180" i="6"/>
  <c r="B217" i="6"/>
  <c r="G237" i="6"/>
  <c r="M13" i="1"/>
  <c r="T13" i="1"/>
  <c r="AA13" i="1" s="1"/>
  <c r="X25" i="1"/>
  <c r="W25" i="1"/>
  <c r="M26" i="1"/>
  <c r="T31" i="1"/>
  <c r="AA31" i="1" s="1"/>
  <c r="X34" i="1"/>
  <c r="W34" i="1"/>
  <c r="T36" i="1"/>
  <c r="Y36" i="1" s="1"/>
  <c r="AA36" i="1"/>
  <c r="T11" i="1"/>
  <c r="AA11" i="1" s="1"/>
  <c r="M11" i="1"/>
  <c r="T17" i="1"/>
  <c r="T77" i="1"/>
  <c r="S11" i="1"/>
  <c r="X15" i="1"/>
  <c r="W15" i="1"/>
  <c r="M17" i="1"/>
  <c r="S29" i="1"/>
  <c r="T71" i="1"/>
  <c r="Y71" i="1" s="1"/>
  <c r="T86" i="1"/>
  <c r="AA86" i="1" s="1"/>
  <c r="S86" i="1"/>
  <c r="S19" i="2"/>
  <c r="T6" i="1"/>
  <c r="M6" i="1"/>
  <c r="T12" i="1"/>
  <c r="AA12" i="1" s="1"/>
  <c r="M12" i="1"/>
  <c r="T30" i="1"/>
  <c r="AA30" i="1" s="1"/>
  <c r="T26" i="1"/>
  <c r="Y26" i="1" s="1"/>
  <c r="T37" i="1"/>
  <c r="T48" i="1"/>
  <c r="T66" i="1"/>
  <c r="T47" i="1"/>
  <c r="AA47" i="1" s="1"/>
  <c r="M47" i="1"/>
  <c r="S48" i="1"/>
  <c r="Z54" i="1"/>
  <c r="S56" i="1"/>
  <c r="AA56" i="1"/>
  <c r="T80" i="1"/>
  <c r="S80" i="1"/>
  <c r="R93" i="1"/>
  <c r="Y10" i="1"/>
  <c r="M14" i="1"/>
  <c r="T14" i="1"/>
  <c r="Y14" i="1" s="1"/>
  <c r="T15" i="1"/>
  <c r="M15" i="1"/>
  <c r="M18" i="1"/>
  <c r="T18" i="1"/>
  <c r="Y18" i="1" s="1"/>
  <c r="W20" i="1"/>
  <c r="X20" i="1"/>
  <c r="T21" i="1"/>
  <c r="AA21" i="1" s="1"/>
  <c r="T22" i="1"/>
  <c r="T27" i="1"/>
  <c r="Y27" i="1" s="1"/>
  <c r="S30" i="1"/>
  <c r="T32" i="1"/>
  <c r="AA32" i="1" s="1"/>
  <c r="M32" i="1"/>
  <c r="T33" i="1"/>
  <c r="T34" i="1"/>
  <c r="S36" i="1"/>
  <c r="M42" i="1"/>
  <c r="T42" i="1"/>
  <c r="Y42" i="1" s="1"/>
  <c r="T46" i="1"/>
  <c r="Y46" i="1" s="1"/>
  <c r="S47" i="1"/>
  <c r="T50" i="1"/>
  <c r="Y50" i="1" s="1"/>
  <c r="T63" i="1"/>
  <c r="S63" i="1"/>
  <c r="T69" i="1"/>
  <c r="AA69" i="1" s="1"/>
  <c r="S69" i="1"/>
  <c r="S73" i="1"/>
  <c r="AA73" i="1"/>
  <c r="S6" i="1"/>
  <c r="S15" i="1"/>
  <c r="W17" i="1"/>
  <c r="X17" i="1"/>
  <c r="S18" i="1"/>
  <c r="S22" i="1"/>
  <c r="S26" i="1"/>
  <c r="S27" i="1"/>
  <c r="S32" i="1"/>
  <c r="S34" i="1"/>
  <c r="T40" i="1"/>
  <c r="T41" i="1"/>
  <c r="S41" i="1"/>
  <c r="S42" i="1"/>
  <c r="T44" i="1"/>
  <c r="Y44" i="1" s="1"/>
  <c r="T45" i="1"/>
  <c r="Y45" i="1" s="1"/>
  <c r="S46" i="1"/>
  <c r="AA54" i="1"/>
  <c r="T78" i="1"/>
  <c r="T87" i="1"/>
  <c r="S23" i="2"/>
  <c r="AA23" i="2"/>
  <c r="S47" i="2"/>
  <c r="W48" i="1"/>
  <c r="X48" i="1"/>
  <c r="T49" i="1"/>
  <c r="T52" i="1"/>
  <c r="AA52" i="1" s="1"/>
  <c r="S52" i="1"/>
  <c r="T60" i="1"/>
  <c r="T61" i="1"/>
  <c r="S64" i="1"/>
  <c r="Z68" i="1"/>
  <c r="T70" i="1"/>
  <c r="Y70" i="1" s="1"/>
  <c r="M72" i="1"/>
  <c r="T72" i="1"/>
  <c r="AA75" i="1"/>
  <c r="S78" i="1"/>
  <c r="T90" i="1"/>
  <c r="Y90" i="1" s="1"/>
  <c r="S90" i="1"/>
  <c r="T55" i="2"/>
  <c r="M55" i="2"/>
  <c r="E93" i="1"/>
  <c r="G7" i="1"/>
  <c r="K7" i="1" s="1"/>
  <c r="K93" i="1" s="1"/>
  <c r="T8" i="1"/>
  <c r="Y8" i="1" s="1"/>
  <c r="M8" i="1"/>
  <c r="M9" i="1"/>
  <c r="T9" i="1"/>
  <c r="AA10" i="1"/>
  <c r="M10" i="1"/>
  <c r="S12" i="1"/>
  <c r="S13" i="1"/>
  <c r="T16" i="1"/>
  <c r="Y16" i="1" s="1"/>
  <c r="Z16" i="1" s="1"/>
  <c r="S17" i="1"/>
  <c r="T19" i="1"/>
  <c r="AA19" i="1" s="1"/>
  <c r="M19" i="1"/>
  <c r="T20" i="1"/>
  <c r="AA20" i="1" s="1"/>
  <c r="S21" i="1"/>
  <c r="T23" i="1"/>
  <c r="AA23" i="1"/>
  <c r="T24" i="1"/>
  <c r="T28" i="1"/>
  <c r="AA28" i="1" s="1"/>
  <c r="X29" i="1"/>
  <c r="Y29" i="1" s="1"/>
  <c r="W29" i="1"/>
  <c r="S31" i="1"/>
  <c r="T35" i="1"/>
  <c r="Y35" i="1" s="1"/>
  <c r="W37" i="1"/>
  <c r="X37" i="1"/>
  <c r="T38" i="1"/>
  <c r="AA38" i="1" s="1"/>
  <c r="T53" i="1"/>
  <c r="M55" i="1"/>
  <c r="T55" i="1"/>
  <c r="AA58" i="1"/>
  <c r="S61" i="1"/>
  <c r="S66" i="1"/>
  <c r="AA67" i="1"/>
  <c r="S70" i="1"/>
  <c r="S71" i="1"/>
  <c r="S77" i="1"/>
  <c r="T7" i="2"/>
  <c r="AA7" i="2" s="1"/>
  <c r="M7" i="2"/>
  <c r="S11" i="2"/>
  <c r="T40" i="2"/>
  <c r="S40" i="2"/>
  <c r="T46" i="2"/>
  <c r="S51" i="2"/>
  <c r="AA51" i="2"/>
  <c r="T91" i="1"/>
  <c r="T10" i="2"/>
  <c r="T15" i="2"/>
  <c r="AA15" i="2" s="1"/>
  <c r="M15" i="2"/>
  <c r="T25" i="2"/>
  <c r="AA25" i="2" s="1"/>
  <c r="T32" i="2"/>
  <c r="M32" i="2"/>
  <c r="S32" i="2"/>
  <c r="W35" i="2"/>
  <c r="X35" i="2"/>
  <c r="W58" i="2"/>
  <c r="X58" i="2"/>
  <c r="Y58" i="2" s="1"/>
  <c r="T63" i="2"/>
  <c r="AA63" i="2" s="1"/>
  <c r="S69" i="2"/>
  <c r="S71" i="2"/>
  <c r="Y23" i="1"/>
  <c r="Z23" i="1" s="1"/>
  <c r="AA51" i="1"/>
  <c r="Y58" i="1"/>
  <c r="Z58" i="1" s="1"/>
  <c r="T62" i="1"/>
  <c r="AA62" i="1" s="1"/>
  <c r="AA68" i="1"/>
  <c r="Y75" i="1"/>
  <c r="Z75" i="1" s="1"/>
  <c r="T79" i="1"/>
  <c r="AA79" i="1" s="1"/>
  <c r="W7" i="2"/>
  <c r="M10" i="2"/>
  <c r="T12" i="2"/>
  <c r="AA12" i="2" s="1"/>
  <c r="M12" i="2"/>
  <c r="T16" i="2"/>
  <c r="M16" i="2"/>
  <c r="AA16" i="2"/>
  <c r="S16" i="2"/>
  <c r="T26" i="2"/>
  <c r="AA26" i="2" s="1"/>
  <c r="M26" i="2"/>
  <c r="S26" i="2"/>
  <c r="T37" i="2"/>
  <c r="S37" i="2"/>
  <c r="X40" i="2"/>
  <c r="W40" i="2"/>
  <c r="W41" i="2"/>
  <c r="X41" i="2"/>
  <c r="T43" i="2"/>
  <c r="AA43" i="2" s="1"/>
  <c r="W44" i="2"/>
  <c r="AA68" i="2"/>
  <c r="S68" i="2"/>
  <c r="X75" i="2"/>
  <c r="W75" i="2"/>
  <c r="T78" i="2"/>
  <c r="F62" i="6"/>
  <c r="D62" i="6"/>
  <c r="D91" i="6"/>
  <c r="F91" i="6"/>
  <c r="F207" i="6"/>
  <c r="B206" i="6"/>
  <c r="D207" i="6"/>
  <c r="W10" i="1"/>
  <c r="W19" i="1"/>
  <c r="X22" i="1"/>
  <c r="W31" i="1"/>
  <c r="W36" i="1"/>
  <c r="X39" i="1"/>
  <c r="Y39" i="1" s="1"/>
  <c r="W42" i="1"/>
  <c r="W47" i="1"/>
  <c r="X49" i="1"/>
  <c r="W49" i="1"/>
  <c r="W55" i="1"/>
  <c r="X55" i="1"/>
  <c r="W56" i="1"/>
  <c r="W58" i="1"/>
  <c r="T59" i="1"/>
  <c r="X59" i="1"/>
  <c r="W63" i="1"/>
  <c r="X63" i="1"/>
  <c r="Y64" i="1"/>
  <c r="X66" i="1"/>
  <c r="Y66" i="1" s="1"/>
  <c r="W66" i="1"/>
  <c r="W72" i="1"/>
  <c r="X72" i="1"/>
  <c r="W73" i="1"/>
  <c r="W75" i="1"/>
  <c r="T76" i="1"/>
  <c r="X76" i="1"/>
  <c r="W80" i="1"/>
  <c r="X80" i="1"/>
  <c r="T81" i="1"/>
  <c r="AA81" i="1" s="1"/>
  <c r="W81" i="1"/>
  <c r="S82" i="1"/>
  <c r="W83" i="1"/>
  <c r="X91" i="1"/>
  <c r="W91" i="1"/>
  <c r="R93" i="2"/>
  <c r="T8" i="2"/>
  <c r="AA8" i="2" s="1"/>
  <c r="M8" i="2"/>
  <c r="S8" i="2"/>
  <c r="S17" i="2"/>
  <c r="X18" i="2"/>
  <c r="W18" i="2"/>
  <c r="S20" i="2"/>
  <c r="T21" i="2"/>
  <c r="Y21" i="2" s="1"/>
  <c r="W21" i="2"/>
  <c r="AA24" i="2"/>
  <c r="T27" i="2"/>
  <c r="Y28" i="2"/>
  <c r="Z28" i="2" s="1"/>
  <c r="AA29" i="2"/>
  <c r="X32" i="2"/>
  <c r="Y32" i="2" s="1"/>
  <c r="W32" i="2"/>
  <c r="W33" i="2"/>
  <c r="X33" i="2"/>
  <c r="W38" i="2"/>
  <c r="T49" i="2"/>
  <c r="AA49" i="2" s="1"/>
  <c r="T50" i="2"/>
  <c r="AA50" i="2" s="1"/>
  <c r="S66" i="2"/>
  <c r="T66" i="2"/>
  <c r="Y66" i="2" s="1"/>
  <c r="T74" i="2"/>
  <c r="AA74" i="2" s="1"/>
  <c r="X83" i="2"/>
  <c r="W83" i="2"/>
  <c r="W88" i="2"/>
  <c r="X88" i="2"/>
  <c r="F136" i="6"/>
  <c r="D136" i="6"/>
  <c r="F202" i="6"/>
  <c r="D202" i="6"/>
  <c r="G202" i="6" s="1"/>
  <c r="AE93" i="1"/>
  <c r="X9" i="1"/>
  <c r="W14" i="1"/>
  <c r="X24" i="1"/>
  <c r="Y24" i="1" s="1"/>
  <c r="X33" i="1"/>
  <c r="Y33" i="1" s="1"/>
  <c r="X41" i="1"/>
  <c r="W44" i="1"/>
  <c r="S50" i="1"/>
  <c r="X60" i="1"/>
  <c r="Y60" i="1" s="1"/>
  <c r="X61" i="1"/>
  <c r="W64" i="1"/>
  <c r="S67" i="1"/>
  <c r="X77" i="1"/>
  <c r="Y77" i="1" s="1"/>
  <c r="X78" i="1"/>
  <c r="T82" i="1"/>
  <c r="Y82" i="1" s="1"/>
  <c r="AA83" i="1"/>
  <c r="X87" i="1"/>
  <c r="W87" i="1"/>
  <c r="S9" i="2"/>
  <c r="X10" i="2"/>
  <c r="W10" i="2"/>
  <c r="M13" i="2"/>
  <c r="T13" i="2"/>
  <c r="AA13" i="2" s="1"/>
  <c r="Y15" i="2"/>
  <c r="M17" i="2"/>
  <c r="T18" i="2"/>
  <c r="AA18" i="2" s="1"/>
  <c r="T20" i="2"/>
  <c r="Y20" i="2" s="1"/>
  <c r="T22" i="2"/>
  <c r="Y22" i="2" s="1"/>
  <c r="S27" i="2"/>
  <c r="AA28" i="2"/>
  <c r="T35" i="2"/>
  <c r="T45" i="2"/>
  <c r="Y45" i="2" s="1"/>
  <c r="T53" i="2"/>
  <c r="Y53" i="2" s="1"/>
  <c r="AA53" i="2"/>
  <c r="T82" i="2"/>
  <c r="AA82" i="2" s="1"/>
  <c r="X85" i="1"/>
  <c r="Y85" i="1" s="1"/>
  <c r="W85" i="1"/>
  <c r="S87" i="1"/>
  <c r="AA88" i="1"/>
  <c r="X89" i="1"/>
  <c r="Y89" i="1" s="1"/>
  <c r="W89" i="1"/>
  <c r="S91" i="1"/>
  <c r="AA92" i="1"/>
  <c r="E93" i="2"/>
  <c r="G6" i="2"/>
  <c r="K6" i="2" s="1"/>
  <c r="X6" i="2"/>
  <c r="W6" i="2"/>
  <c r="S10" i="2"/>
  <c r="X14" i="2"/>
  <c r="Y14" i="2" s="1"/>
  <c r="W14" i="2"/>
  <c r="Y16" i="2"/>
  <c r="S18" i="2"/>
  <c r="Y23" i="2"/>
  <c r="T30" i="2"/>
  <c r="T31" i="2"/>
  <c r="Y31" i="2" s="1"/>
  <c r="Z31" i="2" s="1"/>
  <c r="T36" i="2"/>
  <c r="Y36" i="2" s="1"/>
  <c r="AA38" i="2"/>
  <c r="AA44" i="2"/>
  <c r="S49" i="2"/>
  <c r="S50" i="2"/>
  <c r="S53" i="2"/>
  <c r="S55" i="2"/>
  <c r="T60" i="2"/>
  <c r="S60" i="2"/>
  <c r="X62" i="2"/>
  <c r="W62" i="2"/>
  <c r="S65" i="2"/>
  <c r="AA70" i="2"/>
  <c r="S70" i="2"/>
  <c r="S86" i="2"/>
  <c r="AA87" i="2"/>
  <c r="T87" i="2"/>
  <c r="S87" i="2"/>
  <c r="AA84" i="1"/>
  <c r="Y86" i="1"/>
  <c r="S7" i="2"/>
  <c r="T11" i="2"/>
  <c r="AA11" i="2" s="1"/>
  <c r="M11" i="2"/>
  <c r="S15" i="2"/>
  <c r="T19" i="2"/>
  <c r="Y19" i="2" s="1"/>
  <c r="M19" i="2"/>
  <c r="S21" i="2"/>
  <c r="S25" i="2"/>
  <c r="X27" i="2"/>
  <c r="W27" i="2"/>
  <c r="S29" i="2"/>
  <c r="T33" i="2"/>
  <c r="AA33" i="2" s="1"/>
  <c r="T34" i="2"/>
  <c r="Y34" i="2" s="1"/>
  <c r="S35" i="2"/>
  <c r="Z38" i="2"/>
  <c r="AB38" i="2" s="1"/>
  <c r="T39" i="2"/>
  <c r="T41" i="2"/>
  <c r="AA41" i="2" s="1"/>
  <c r="M42" i="2"/>
  <c r="T42" i="2"/>
  <c r="Y42" i="2" s="1"/>
  <c r="AB44" i="2"/>
  <c r="Z44" i="2"/>
  <c r="X46" i="2"/>
  <c r="W46" i="2"/>
  <c r="T47" i="2"/>
  <c r="Y47" i="2" s="1"/>
  <c r="M47" i="2"/>
  <c r="Y49" i="2"/>
  <c r="X55" i="2"/>
  <c r="Y55" i="2" s="1"/>
  <c r="W55" i="2"/>
  <c r="W56" i="2"/>
  <c r="X56" i="2"/>
  <c r="S67" i="2"/>
  <c r="T72" i="2"/>
  <c r="AA72" i="2" s="1"/>
  <c r="M72" i="2"/>
  <c r="S72" i="2"/>
  <c r="T76" i="2"/>
  <c r="AA76" i="2" s="1"/>
  <c r="S78" i="2"/>
  <c r="T80" i="2"/>
  <c r="AA80" i="2" s="1"/>
  <c r="S80" i="2"/>
  <c r="T84" i="2"/>
  <c r="Y84" i="2" s="1"/>
  <c r="X86" i="2"/>
  <c r="Y86" i="2" s="1"/>
  <c r="W86" i="2"/>
  <c r="Y87" i="2"/>
  <c r="S90" i="2"/>
  <c r="T90" i="2"/>
  <c r="AE93" i="2"/>
  <c r="S46" i="2"/>
  <c r="T54" i="2"/>
  <c r="Y54" i="2" s="1"/>
  <c r="T59" i="2"/>
  <c r="AA59" i="2" s="1"/>
  <c r="T61" i="2"/>
  <c r="AA61" i="2" s="1"/>
  <c r="X65" i="2"/>
  <c r="Y65" i="2" s="1"/>
  <c r="W65" i="2"/>
  <c r="X67" i="2"/>
  <c r="Y67" i="2" s="1"/>
  <c r="W67" i="2"/>
  <c r="X69" i="2"/>
  <c r="Y69" i="2" s="1"/>
  <c r="W69" i="2"/>
  <c r="X71" i="2"/>
  <c r="Y71" i="2" s="1"/>
  <c r="W71" i="2"/>
  <c r="S74" i="2"/>
  <c r="T75" i="2"/>
  <c r="AA75" i="2" s="1"/>
  <c r="S76" i="2"/>
  <c r="T77" i="2"/>
  <c r="S82" i="2"/>
  <c r="T83" i="2"/>
  <c r="S84" i="2"/>
  <c r="S85" i="2"/>
  <c r="W29" i="2"/>
  <c r="X37" i="2"/>
  <c r="W47" i="2"/>
  <c r="W51" i="2"/>
  <c r="T56" i="2"/>
  <c r="T57" i="2"/>
  <c r="Y57" i="2" s="1"/>
  <c r="S58" i="2"/>
  <c r="S61" i="2"/>
  <c r="T62" i="2"/>
  <c r="S63" i="2"/>
  <c r="S64" i="2"/>
  <c r="X73" i="2"/>
  <c r="Y73" i="2" s="1"/>
  <c r="W73" i="2"/>
  <c r="S77" i="2"/>
  <c r="X81" i="2"/>
  <c r="Y81" i="2" s="1"/>
  <c r="W81" i="2"/>
  <c r="M85" i="2"/>
  <c r="T85" i="2"/>
  <c r="Y85" i="2" s="1"/>
  <c r="Y61" i="2"/>
  <c r="S62" i="2"/>
  <c r="S75" i="2"/>
  <c r="X79" i="2"/>
  <c r="Y79" i="2" s="1"/>
  <c r="W79" i="2"/>
  <c r="S83" i="2"/>
  <c r="T88" i="2"/>
  <c r="AA88" i="2" s="1"/>
  <c r="W90" i="2"/>
  <c r="X90" i="2"/>
  <c r="AA92" i="2"/>
  <c r="X60" i="2"/>
  <c r="S73" i="2"/>
  <c r="X77" i="2"/>
  <c r="W77" i="2"/>
  <c r="S81" i="2"/>
  <c r="T89" i="2"/>
  <c r="Y89" i="2" s="1"/>
  <c r="O13" i="5"/>
  <c r="Q13" i="5"/>
  <c r="AA91" i="2"/>
  <c r="F72" i="6"/>
  <c r="D72" i="6"/>
  <c r="G72" i="6" s="1"/>
  <c r="Q8" i="5"/>
  <c r="O8" i="5"/>
  <c r="Q11" i="5"/>
  <c r="O11" i="5"/>
  <c r="G19" i="6"/>
  <c r="F38" i="6"/>
  <c r="D38" i="6"/>
  <c r="G38" i="6" s="1"/>
  <c r="F116" i="6"/>
  <c r="D116" i="6"/>
  <c r="F145" i="6"/>
  <c r="D145" i="6"/>
  <c r="F168" i="6"/>
  <c r="B163" i="6"/>
  <c r="D168" i="6"/>
  <c r="F183" i="6"/>
  <c r="D183" i="6"/>
  <c r="G183" i="6" s="1"/>
  <c r="B174" i="6"/>
  <c r="F189" i="6"/>
  <c r="D189" i="6"/>
  <c r="F195" i="6"/>
  <c r="D195" i="6"/>
  <c r="F217" i="6"/>
  <c r="D217" i="6"/>
  <c r="F228" i="6"/>
  <c r="D228" i="6"/>
  <c r="I90" i="4"/>
  <c r="O5" i="5"/>
  <c r="M14" i="5"/>
  <c r="M16" i="5" s="1"/>
  <c r="O10" i="5"/>
  <c r="F33" i="6"/>
  <c r="G33" i="6" s="1"/>
  <c r="B32" i="6"/>
  <c r="D49" i="6"/>
  <c r="F54" i="6"/>
  <c r="D54" i="6"/>
  <c r="B83" i="6"/>
  <c r="B95" i="6"/>
  <c r="F98" i="6"/>
  <c r="G98" i="6" s="1"/>
  <c r="G126" i="6"/>
  <c r="Q7" i="5"/>
  <c r="O7" i="5"/>
  <c r="Q9" i="5"/>
  <c r="Q12" i="5"/>
  <c r="O12" i="5"/>
  <c r="G2" i="6"/>
  <c r="F19" i="6"/>
  <c r="B66" i="6"/>
  <c r="F101" i="6"/>
  <c r="D101" i="6"/>
  <c r="G101" i="6" s="1"/>
  <c r="G106" i="6"/>
  <c r="G107" i="6"/>
  <c r="G112" i="6"/>
  <c r="G113" i="6"/>
  <c r="G129" i="6"/>
  <c r="B130" i="6"/>
  <c r="C135" i="6"/>
  <c r="B139" i="6"/>
  <c r="B135" i="6" s="1"/>
  <c r="G177" i="6"/>
  <c r="F241" i="6"/>
  <c r="D241" i="6"/>
  <c r="G241" i="6" s="1"/>
  <c r="Y61" i="1" l="1"/>
  <c r="AA59" i="1"/>
  <c r="AB88" i="1"/>
  <c r="Z43" i="1"/>
  <c r="AB43" i="1" s="1"/>
  <c r="Y22" i="1"/>
  <c r="AA57" i="1"/>
  <c r="Y48" i="1"/>
  <c r="Y87" i="1"/>
  <c r="AA9" i="1"/>
  <c r="Z89" i="1"/>
  <c r="Y79" i="1"/>
  <c r="Z79" i="1" s="1"/>
  <c r="Y40" i="1"/>
  <c r="Z85" i="1"/>
  <c r="Y47" i="1"/>
  <c r="Y69" i="1"/>
  <c r="Y74" i="1"/>
  <c r="Z74" i="1" s="1"/>
  <c r="AA89" i="2"/>
  <c r="Y82" i="2"/>
  <c r="AA64" i="2"/>
  <c r="Z14" i="2"/>
  <c r="AA84" i="2"/>
  <c r="Z52" i="2"/>
  <c r="AB52" i="2" s="1"/>
  <c r="AH52" i="2" s="1"/>
  <c r="Y39" i="2"/>
  <c r="Z39" i="2" s="1"/>
  <c r="Y52" i="2"/>
  <c r="Y60" i="2"/>
  <c r="Y12" i="2"/>
  <c r="Z12" i="2" s="1"/>
  <c r="AA56" i="2"/>
  <c r="Y30" i="2"/>
  <c r="Z30" i="2" s="1"/>
  <c r="Y40" i="2"/>
  <c r="Z40" i="2" s="1"/>
  <c r="AB40" i="2" s="1"/>
  <c r="AA48" i="2"/>
  <c r="AB48" i="2" s="1"/>
  <c r="AH48" i="2" s="1"/>
  <c r="AB91" i="2"/>
  <c r="Y26" i="2"/>
  <c r="AA17" i="2"/>
  <c r="Z54" i="2"/>
  <c r="AA14" i="2"/>
  <c r="Y76" i="1"/>
  <c r="Z76" i="1" s="1"/>
  <c r="AB76" i="1" s="1"/>
  <c r="AA78" i="2"/>
  <c r="Y81" i="1"/>
  <c r="AA41" i="1"/>
  <c r="AA34" i="2"/>
  <c r="AA65" i="2"/>
  <c r="AA36" i="2"/>
  <c r="AA85" i="1"/>
  <c r="AB85" i="1" s="1"/>
  <c r="AA27" i="2"/>
  <c r="AA18" i="1"/>
  <c r="AB68" i="1"/>
  <c r="AA77" i="1"/>
  <c r="AB84" i="1"/>
  <c r="AH84" i="1" s="1"/>
  <c r="Y72" i="1"/>
  <c r="AA46" i="2"/>
  <c r="AA78" i="1"/>
  <c r="AA19" i="2"/>
  <c r="Y80" i="2"/>
  <c r="Z80" i="2" s="1"/>
  <c r="AB80" i="2" s="1"/>
  <c r="AA55" i="2"/>
  <c r="AA61" i="1"/>
  <c r="AB54" i="1"/>
  <c r="Y10" i="2"/>
  <c r="Z10" i="2" s="1"/>
  <c r="AA9" i="2"/>
  <c r="Z83" i="1"/>
  <c r="Z24" i="2"/>
  <c r="Y63" i="2"/>
  <c r="AA57" i="2"/>
  <c r="Y17" i="1"/>
  <c r="Y90" i="2"/>
  <c r="G62" i="6"/>
  <c r="AA24" i="1"/>
  <c r="AA49" i="1"/>
  <c r="AA37" i="1"/>
  <c r="Z92" i="2"/>
  <c r="AB92" i="2" s="1"/>
  <c r="AH92" i="2" s="1"/>
  <c r="C245" i="6"/>
  <c r="E246" i="6" s="1"/>
  <c r="AA55" i="1"/>
  <c r="Q14" i="5"/>
  <c r="Q16" i="5" s="1"/>
  <c r="AB95" i="2" s="1"/>
  <c r="AA35" i="1"/>
  <c r="AA83" i="2"/>
  <c r="Y27" i="2"/>
  <c r="G54" i="6"/>
  <c r="G189" i="6"/>
  <c r="G145" i="6"/>
  <c r="F27" i="6"/>
  <c r="G27" i="6" s="1"/>
  <c r="AA62" i="2"/>
  <c r="AA77" i="2"/>
  <c r="AB14" i="2"/>
  <c r="AH14" i="2" s="1"/>
  <c r="AB83" i="1"/>
  <c r="AH83" i="1" s="1"/>
  <c r="Y32" i="1"/>
  <c r="Z32" i="1" s="1"/>
  <c r="AB32" i="1" s="1"/>
  <c r="AA32" i="2"/>
  <c r="Y37" i="1"/>
  <c r="Z37" i="1" s="1"/>
  <c r="AA90" i="1"/>
  <c r="AA87" i="1"/>
  <c r="Y31" i="1"/>
  <c r="Z31" i="1" s="1"/>
  <c r="AB31" i="1" s="1"/>
  <c r="S7" i="1"/>
  <c r="S93" i="1" s="1"/>
  <c r="AA48" i="1"/>
  <c r="G210" i="6"/>
  <c r="AA65" i="1"/>
  <c r="AA80" i="1"/>
  <c r="G217" i="6"/>
  <c r="AA85" i="2"/>
  <c r="Y43" i="2"/>
  <c r="Y50" i="2"/>
  <c r="Z50" i="2" s="1"/>
  <c r="AA69" i="2"/>
  <c r="Y35" i="2"/>
  <c r="Z35" i="2" s="1"/>
  <c r="Y53" i="1"/>
  <c r="Z53" i="1" s="1"/>
  <c r="AA42" i="1"/>
  <c r="AA22" i="1"/>
  <c r="AA15" i="1"/>
  <c r="AB74" i="1"/>
  <c r="F223" i="6"/>
  <c r="D223" i="6"/>
  <c r="D159" i="6"/>
  <c r="F159" i="6"/>
  <c r="AA76" i="1"/>
  <c r="AB24" i="2"/>
  <c r="B17" i="6"/>
  <c r="B245" i="6" s="1"/>
  <c r="Y59" i="1"/>
  <c r="Z59" i="1" s="1"/>
  <c r="Y49" i="1"/>
  <c r="Z49" i="1" s="1"/>
  <c r="AA37" i="2"/>
  <c r="Z45" i="1"/>
  <c r="Y34" i="1"/>
  <c r="G186" i="6"/>
  <c r="Y9" i="2"/>
  <c r="Z9" i="2" s="1"/>
  <c r="Y11" i="1"/>
  <c r="Z11" i="1" s="1"/>
  <c r="AB11" i="1" s="1"/>
  <c r="AA40" i="1"/>
  <c r="Y13" i="2"/>
  <c r="Z13" i="2" s="1"/>
  <c r="AB13" i="2" s="1"/>
  <c r="AB58" i="1"/>
  <c r="AH58" i="1" s="1"/>
  <c r="AA10" i="2"/>
  <c r="AA72" i="1"/>
  <c r="AA63" i="1"/>
  <c r="AA66" i="1"/>
  <c r="AB28" i="2"/>
  <c r="AB92" i="1"/>
  <c r="AH92" i="1" s="1"/>
  <c r="Y46" i="2"/>
  <c r="Z46" i="2" s="1"/>
  <c r="AA89" i="1"/>
  <c r="AB89" i="1" s="1"/>
  <c r="AH89" i="1" s="1"/>
  <c r="AA60" i="2"/>
  <c r="AA91" i="1"/>
  <c r="AA70" i="1"/>
  <c r="AA33" i="1"/>
  <c r="AB57" i="1"/>
  <c r="AH57" i="1" s="1"/>
  <c r="G155" i="6"/>
  <c r="Z34" i="2"/>
  <c r="AB34" i="2" s="1"/>
  <c r="AH54" i="1"/>
  <c r="Z36" i="2"/>
  <c r="AB36" i="2" s="1"/>
  <c r="Z45" i="2"/>
  <c r="AH24" i="2"/>
  <c r="Z40" i="1"/>
  <c r="AB40" i="1" s="1"/>
  <c r="Z57" i="2"/>
  <c r="Z22" i="2"/>
  <c r="AH74" i="1"/>
  <c r="AH28" i="2"/>
  <c r="AH88" i="1"/>
  <c r="AH51" i="1"/>
  <c r="Z8" i="1"/>
  <c r="AH85" i="1"/>
  <c r="AH68" i="1"/>
  <c r="F130" i="6"/>
  <c r="D130" i="6"/>
  <c r="G130" i="6" s="1"/>
  <c r="D66" i="6"/>
  <c r="F66" i="6"/>
  <c r="Z58" i="2"/>
  <c r="Z82" i="2"/>
  <c r="AB82" i="2" s="1"/>
  <c r="AH44" i="2"/>
  <c r="AH38" i="2"/>
  <c r="Z29" i="2"/>
  <c r="AB29" i="2" s="1"/>
  <c r="Y62" i="2"/>
  <c r="D83" i="6"/>
  <c r="F83" i="6"/>
  <c r="Z73" i="2"/>
  <c r="Z90" i="2"/>
  <c r="Z21" i="2"/>
  <c r="AH91" i="2"/>
  <c r="F135" i="6"/>
  <c r="D135" i="6"/>
  <c r="Z17" i="2"/>
  <c r="AB17" i="2" s="1"/>
  <c r="F206" i="6"/>
  <c r="D206" i="6"/>
  <c r="G206" i="6" s="1"/>
  <c r="Z68" i="2"/>
  <c r="AB68" i="2" s="1"/>
  <c r="Z16" i="2"/>
  <c r="AB16" i="2" s="1"/>
  <c r="Z71" i="2"/>
  <c r="Z32" i="2"/>
  <c r="AA40" i="2"/>
  <c r="Z90" i="1"/>
  <c r="Z81" i="1"/>
  <c r="AB81" i="1" s="1"/>
  <c r="Z65" i="1"/>
  <c r="AB65" i="1" s="1"/>
  <c r="Z42" i="1"/>
  <c r="Z73" i="1"/>
  <c r="AB73" i="1" s="1"/>
  <c r="Z48" i="1"/>
  <c r="AB48" i="1" s="1"/>
  <c r="AH43" i="1"/>
  <c r="Z86" i="1"/>
  <c r="AB86" i="1" s="1"/>
  <c r="Z33" i="1"/>
  <c r="Y15" i="1"/>
  <c r="Z15" i="1" s="1"/>
  <c r="AB15" i="1" s="1"/>
  <c r="AA17" i="1"/>
  <c r="D32" i="6"/>
  <c r="F32" i="6"/>
  <c r="O14" i="5"/>
  <c r="O16" i="5" s="1"/>
  <c r="B110" i="6"/>
  <c r="AA79" i="2"/>
  <c r="Y72" i="2"/>
  <c r="Z72" i="2" s="1"/>
  <c r="Z64" i="2"/>
  <c r="AB64" i="2"/>
  <c r="Z89" i="2"/>
  <c r="Z84" i="2"/>
  <c r="AB84" i="2" s="1"/>
  <c r="Y78" i="2"/>
  <c r="Z78" i="2" s="1"/>
  <c r="AB78" i="2" s="1"/>
  <c r="AA90" i="2"/>
  <c r="AB90" i="2" s="1"/>
  <c r="AA67" i="2"/>
  <c r="AA86" i="2"/>
  <c r="Z60" i="2"/>
  <c r="Z49" i="2"/>
  <c r="AB49" i="2" s="1"/>
  <c r="Y11" i="2"/>
  <c r="Z87" i="1"/>
  <c r="AB87" i="1" s="1"/>
  <c r="Z79" i="2"/>
  <c r="AB79" i="2" s="1"/>
  <c r="AA45" i="2"/>
  <c r="AA22" i="2"/>
  <c r="Y78" i="1"/>
  <c r="Z50" i="1"/>
  <c r="Z20" i="2"/>
  <c r="Y91" i="1"/>
  <c r="Z91" i="1" s="1"/>
  <c r="AB91" i="1" s="1"/>
  <c r="B61" i="6"/>
  <c r="Y76" i="2"/>
  <c r="Z76" i="2" s="1"/>
  <c r="Y41" i="2"/>
  <c r="Z51" i="2"/>
  <c r="AB51" i="2" s="1"/>
  <c r="Z77" i="1"/>
  <c r="Z66" i="1"/>
  <c r="AB66" i="1" s="1"/>
  <c r="Y52" i="1"/>
  <c r="Z52" i="1" s="1"/>
  <c r="AA39" i="1"/>
  <c r="Z17" i="1"/>
  <c r="AA8" i="1"/>
  <c r="AA60" i="1"/>
  <c r="Z23" i="2"/>
  <c r="AB23" i="2" s="1"/>
  <c r="AA45" i="1"/>
  <c r="AB45" i="1" s="1"/>
  <c r="Y28" i="1"/>
  <c r="Y13" i="1"/>
  <c r="Z13" i="1" s="1"/>
  <c r="Z69" i="1"/>
  <c r="AB69" i="1" s="1"/>
  <c r="AA46" i="1"/>
  <c r="Z36" i="1"/>
  <c r="AB36" i="1" s="1"/>
  <c r="Y20" i="1"/>
  <c r="Z56" i="1"/>
  <c r="AB56" i="1" s="1"/>
  <c r="Y19" i="1"/>
  <c r="Z19" i="2"/>
  <c r="AB19" i="2" s="1"/>
  <c r="Y12" i="1"/>
  <c r="AB23" i="1"/>
  <c r="AA26" i="1"/>
  <c r="D139" i="6"/>
  <c r="F139" i="6"/>
  <c r="D17" i="6"/>
  <c r="G168" i="6"/>
  <c r="AA81" i="2"/>
  <c r="Y74" i="2"/>
  <c r="Z61" i="2"/>
  <c r="AB61" i="2" s="1"/>
  <c r="AA54" i="2"/>
  <c r="Z67" i="2"/>
  <c r="AB67" i="2" s="1"/>
  <c r="Z87" i="2"/>
  <c r="AB87" i="2"/>
  <c r="Z86" i="2"/>
  <c r="Z65" i="2"/>
  <c r="AA58" i="2"/>
  <c r="Z55" i="2"/>
  <c r="K93" i="2"/>
  <c r="M6" i="2"/>
  <c r="T6" i="2"/>
  <c r="T93" i="2" s="1"/>
  <c r="Z27" i="2"/>
  <c r="Y62" i="1"/>
  <c r="Y88" i="2"/>
  <c r="Y83" i="2"/>
  <c r="Z66" i="2"/>
  <c r="S6" i="2"/>
  <c r="Z82" i="1"/>
  <c r="Y80" i="1"/>
  <c r="AA35" i="2"/>
  <c r="Z26" i="2"/>
  <c r="AB26" i="2" s="1"/>
  <c r="Z69" i="2"/>
  <c r="Z11" i="2"/>
  <c r="AB11" i="2" s="1"/>
  <c r="Z71" i="1"/>
  <c r="Z61" i="1"/>
  <c r="Y38" i="1"/>
  <c r="Y30" i="1"/>
  <c r="Z42" i="2"/>
  <c r="AB42" i="2" s="1"/>
  <c r="Z64" i="1"/>
  <c r="AB64" i="1" s="1"/>
  <c r="AA47" i="2"/>
  <c r="Z72" i="1"/>
  <c r="AB72" i="1" s="1"/>
  <c r="Z39" i="1"/>
  <c r="Z34" i="1"/>
  <c r="Z27" i="1"/>
  <c r="Z22" i="1"/>
  <c r="AB22" i="1" s="1"/>
  <c r="AA50" i="1"/>
  <c r="AA34" i="1"/>
  <c r="Y21" i="1"/>
  <c r="Z21" i="1" s="1"/>
  <c r="AB75" i="1"/>
  <c r="Z60" i="1"/>
  <c r="AB60" i="1" s="1"/>
  <c r="Z44" i="1"/>
  <c r="Z10" i="1"/>
  <c r="AB10" i="1" s="1"/>
  <c r="AA71" i="1"/>
  <c r="AA29" i="1"/>
  <c r="Z24" i="1"/>
  <c r="AB37" i="1"/>
  <c r="Z35" i="1"/>
  <c r="AB35" i="1" s="1"/>
  <c r="Z14" i="1"/>
  <c r="F95" i="6"/>
  <c r="D95" i="6"/>
  <c r="G49" i="6"/>
  <c r="G228" i="6"/>
  <c r="G195" i="6"/>
  <c r="F174" i="6"/>
  <c r="D174" i="6"/>
  <c r="F163" i="6"/>
  <c r="D163" i="6"/>
  <c r="G116" i="6"/>
  <c r="Z81" i="2"/>
  <c r="AB81" i="2" s="1"/>
  <c r="Y77" i="2"/>
  <c r="Z77" i="2" s="1"/>
  <c r="AA73" i="2"/>
  <c r="Z63" i="2"/>
  <c r="AB63" i="2" s="1"/>
  <c r="Y59" i="2"/>
  <c r="Y37" i="2"/>
  <c r="Z85" i="2"/>
  <c r="AB85" i="2" s="1"/>
  <c r="Z74" i="2"/>
  <c r="AB74" i="2" s="1"/>
  <c r="Y56" i="2"/>
  <c r="AA42" i="2"/>
  <c r="AA39" i="2"/>
  <c r="AB39" i="2" s="1"/>
  <c r="Z15" i="2"/>
  <c r="AB15" i="2" s="1"/>
  <c r="Z70" i="2"/>
  <c r="AB70" i="2" s="1"/>
  <c r="Z53" i="2"/>
  <c r="AB53" i="2" s="1"/>
  <c r="AA31" i="2"/>
  <c r="AB31" i="2" s="1"/>
  <c r="Y8" i="2"/>
  <c r="Z8" i="2" s="1"/>
  <c r="AB8" i="2" s="1"/>
  <c r="Y25" i="2"/>
  <c r="Z67" i="1"/>
  <c r="AB67" i="1"/>
  <c r="Y41" i="1"/>
  <c r="Z41" i="1" s="1"/>
  <c r="Y9" i="1"/>
  <c r="G136" i="6"/>
  <c r="AA66" i="2"/>
  <c r="Y33" i="2"/>
  <c r="AA30" i="2"/>
  <c r="AB30" i="2" s="1"/>
  <c r="AA21" i="2"/>
  <c r="Y18" i="2"/>
  <c r="Z18" i="2" s="1"/>
  <c r="AB18" i="2" s="1"/>
  <c r="Y63" i="1"/>
  <c r="Z63" i="1" s="1"/>
  <c r="Y55" i="1"/>
  <c r="G207" i="6"/>
  <c r="G91" i="6"/>
  <c r="Y75" i="2"/>
  <c r="Z75" i="2" s="1"/>
  <c r="AB75" i="2" s="1"/>
  <c r="AA71" i="2"/>
  <c r="AA20" i="2"/>
  <c r="AB20" i="2" s="1"/>
  <c r="Y7" i="2"/>
  <c r="Z7" i="2" s="1"/>
  <c r="AB7" i="2" s="1"/>
  <c r="AA82" i="1"/>
  <c r="Z70" i="1"/>
  <c r="AB70" i="1" s="1"/>
  <c r="AA53" i="1"/>
  <c r="AA16" i="1"/>
  <c r="AB16" i="1" s="1"/>
  <c r="T7" i="1"/>
  <c r="Y7" i="1" s="1"/>
  <c r="M7" i="1"/>
  <c r="Z47" i="2"/>
  <c r="AB47" i="2" s="1"/>
  <c r="Z46" i="1"/>
  <c r="AA44" i="1"/>
  <c r="Z26" i="1"/>
  <c r="AB26" i="1" s="1"/>
  <c r="Z18" i="1"/>
  <c r="AB18" i="1" s="1"/>
  <c r="Z47" i="1"/>
  <c r="AB47" i="1" s="1"/>
  <c r="AA27" i="1"/>
  <c r="AA14" i="1"/>
  <c r="AA6" i="1"/>
  <c r="Z29" i="1"/>
  <c r="Y25" i="1"/>
  <c r="AA25" i="1"/>
  <c r="Y6" i="1"/>
  <c r="Z6" i="1" s="1"/>
  <c r="AB50" i="1" l="1"/>
  <c r="AB79" i="1"/>
  <c r="AB77" i="1"/>
  <c r="AB39" i="1"/>
  <c r="AB29" i="1"/>
  <c r="AB90" i="1"/>
  <c r="AH90" i="1" s="1"/>
  <c r="AB60" i="2"/>
  <c r="AB46" i="2"/>
  <c r="AB12" i="2"/>
  <c r="AB54" i="2"/>
  <c r="AB50" i="2"/>
  <c r="AB32" i="2"/>
  <c r="AB10" i="2"/>
  <c r="AB89" i="2"/>
  <c r="AB65" i="2"/>
  <c r="AH65" i="2" s="1"/>
  <c r="AB45" i="2"/>
  <c r="AB55" i="2"/>
  <c r="AH55" i="2" s="1"/>
  <c r="AB57" i="2"/>
  <c r="AH57" i="2" s="1"/>
  <c r="F17" i="6"/>
  <c r="AB33" i="1"/>
  <c r="AH33" i="1" s="1"/>
  <c r="Z7" i="1"/>
  <c r="AB71" i="1"/>
  <c r="AB59" i="1"/>
  <c r="AH59" i="1" s="1"/>
  <c r="AB24" i="1"/>
  <c r="AH24" i="1" s="1"/>
  <c r="AB69" i="2"/>
  <c r="AB27" i="2"/>
  <c r="G174" i="6"/>
  <c r="AB27" i="1"/>
  <c r="AH27" i="1" s="1"/>
  <c r="AB21" i="2"/>
  <c r="AB9" i="2"/>
  <c r="AH9" i="2" s="1"/>
  <c r="G17" i="6"/>
  <c r="AB73" i="2"/>
  <c r="G223" i="6"/>
  <c r="AB61" i="1"/>
  <c r="AH61" i="1" s="1"/>
  <c r="AB82" i="1"/>
  <c r="AH82" i="1" s="1"/>
  <c r="AB53" i="1"/>
  <c r="AH53" i="1" s="1"/>
  <c r="AB66" i="2"/>
  <c r="AB42" i="1"/>
  <c r="AB21" i="1"/>
  <c r="AH21" i="1" s="1"/>
  <c r="AB34" i="1"/>
  <c r="AH34" i="1" s="1"/>
  <c r="AB86" i="2"/>
  <c r="AH86" i="2" s="1"/>
  <c r="AB22" i="2"/>
  <c r="AH22" i="2" s="1"/>
  <c r="AB35" i="2"/>
  <c r="AB13" i="1"/>
  <c r="AH13" i="1" s="1"/>
  <c r="AB17" i="1"/>
  <c r="AH17" i="1" s="1"/>
  <c r="AB8" i="1"/>
  <c r="AH12" i="2"/>
  <c r="AH13" i="2"/>
  <c r="AB58" i="2"/>
  <c r="AB46" i="1"/>
  <c r="G95" i="6"/>
  <c r="AB77" i="2"/>
  <c r="AH77" i="2" s="1"/>
  <c r="AB71" i="2"/>
  <c r="AH71" i="2" s="1"/>
  <c r="AB49" i="1"/>
  <c r="AH49" i="1" s="1"/>
  <c r="T93" i="1"/>
  <c r="Z43" i="2"/>
  <c r="AB43" i="2" s="1"/>
  <c r="AA7" i="1"/>
  <c r="AB7" i="1" s="1"/>
  <c r="AH7" i="1" s="1"/>
  <c r="AB63" i="1"/>
  <c r="AH63" i="1" s="1"/>
  <c r="AB41" i="1"/>
  <c r="AH41" i="1" s="1"/>
  <c r="AB14" i="1"/>
  <c r="AH14" i="1" s="1"/>
  <c r="AB44" i="1"/>
  <c r="AH44" i="1" s="1"/>
  <c r="Z30" i="1"/>
  <c r="AB30" i="1" s="1"/>
  <c r="AH30" i="1" s="1"/>
  <c r="G135" i="6"/>
  <c r="G159" i="6"/>
  <c r="AH29" i="1"/>
  <c r="AH47" i="1"/>
  <c r="AH47" i="2"/>
  <c r="AH16" i="1"/>
  <c r="AH30" i="2"/>
  <c r="AH11" i="1"/>
  <c r="AH10" i="1"/>
  <c r="AH64" i="1"/>
  <c r="AH10" i="2"/>
  <c r="AH7" i="2"/>
  <c r="AH54" i="2"/>
  <c r="AH45" i="2"/>
  <c r="AH15" i="1"/>
  <c r="AH42" i="1"/>
  <c r="AH29" i="2"/>
  <c r="AH32" i="1"/>
  <c r="AH75" i="2"/>
  <c r="AH8" i="2"/>
  <c r="AH39" i="1"/>
  <c r="AH71" i="1"/>
  <c r="AH67" i="2"/>
  <c r="AH61" i="2"/>
  <c r="AH40" i="2"/>
  <c r="AH79" i="2"/>
  <c r="AH49" i="2"/>
  <c r="AH90" i="2"/>
  <c r="AH89" i="2"/>
  <c r="AH58" i="2"/>
  <c r="AH18" i="2"/>
  <c r="AH66" i="2"/>
  <c r="AH81" i="2"/>
  <c r="AH35" i="1"/>
  <c r="AH50" i="1"/>
  <c r="AH11" i="2"/>
  <c r="AH19" i="2"/>
  <c r="AH36" i="1"/>
  <c r="AH66" i="1"/>
  <c r="AH87" i="1"/>
  <c r="AH60" i="2"/>
  <c r="AH65" i="1"/>
  <c r="AH8" i="1"/>
  <c r="AH46" i="1"/>
  <c r="AH31" i="1"/>
  <c r="AH91" i="1"/>
  <c r="AH81" i="1"/>
  <c r="AH32" i="2"/>
  <c r="AH70" i="1"/>
  <c r="AH15" i="2"/>
  <c r="AH80" i="2"/>
  <c r="AH85" i="2"/>
  <c r="Z38" i="1"/>
  <c r="AB38" i="1" s="1"/>
  <c r="AH69" i="2"/>
  <c r="F245" i="6"/>
  <c r="D245" i="6"/>
  <c r="G245" i="6" s="1"/>
  <c r="AH23" i="1"/>
  <c r="AH69" i="1"/>
  <c r="AH51" i="2"/>
  <c r="Z41" i="2"/>
  <c r="AB41" i="2" s="1"/>
  <c r="AH79" i="1"/>
  <c r="AH46" i="2"/>
  <c r="Z25" i="1"/>
  <c r="AB25" i="1" s="1"/>
  <c r="Z80" i="1"/>
  <c r="AB80" i="1" s="1"/>
  <c r="AH26" i="1"/>
  <c r="AH70" i="2"/>
  <c r="Z25" i="2"/>
  <c r="AB25" i="2" s="1"/>
  <c r="AH45" i="1"/>
  <c r="AB76" i="2"/>
  <c r="AH42" i="2"/>
  <c r="AH31" i="2"/>
  <c r="AB52" i="1"/>
  <c r="AH74" i="2"/>
  <c r="Z62" i="1"/>
  <c r="AB62" i="1" s="1"/>
  <c r="AH87" i="2"/>
  <c r="G139" i="6"/>
  <c r="AH56" i="1"/>
  <c r="Z20" i="1"/>
  <c r="AB20" i="1" s="1"/>
  <c r="Z78" i="1"/>
  <c r="AB78" i="1" s="1"/>
  <c r="Z12" i="1"/>
  <c r="AB12" i="1" s="1"/>
  <c r="Z37" i="2"/>
  <c r="AB37" i="2" s="1"/>
  <c r="D61" i="6"/>
  <c r="F61" i="6"/>
  <c r="Y6" i="2"/>
  <c r="Y93" i="2" s="1"/>
  <c r="AB72" i="2"/>
  <c r="AH84" i="2"/>
  <c r="G32" i="6"/>
  <c r="AH48" i="1"/>
  <c r="AH73" i="1"/>
  <c r="AH68" i="2"/>
  <c r="AH17" i="2"/>
  <c r="AH50" i="2"/>
  <c r="G83" i="6"/>
  <c r="AH82" i="2"/>
  <c r="Z62" i="2"/>
  <c r="AB62" i="2" s="1"/>
  <c r="AA93" i="1"/>
  <c r="AH18" i="1"/>
  <c r="Z55" i="1"/>
  <c r="AB55" i="1" s="1"/>
  <c r="Z9" i="1"/>
  <c r="AB9" i="1" s="1"/>
  <c r="AH53" i="2"/>
  <c r="AH35" i="2"/>
  <c r="AH63" i="2"/>
  <c r="AH22" i="1"/>
  <c r="AH27" i="2"/>
  <c r="AH78" i="2"/>
  <c r="AH23" i="2"/>
  <c r="AH77" i="1"/>
  <c r="AH20" i="2"/>
  <c r="AH86" i="1"/>
  <c r="AH16" i="2"/>
  <c r="AH21" i="2"/>
  <c r="AH73" i="2"/>
  <c r="Z83" i="2"/>
  <c r="AB83" i="2" s="1"/>
  <c r="AH76" i="1"/>
  <c r="AH60" i="1"/>
  <c r="AH39" i="2"/>
  <c r="AH36" i="2"/>
  <c r="AH72" i="1"/>
  <c r="Z33" i="2"/>
  <c r="AB33" i="2" s="1"/>
  <c r="AH26" i="2"/>
  <c r="Z88" i="2"/>
  <c r="AB88" i="2" s="1"/>
  <c r="AB19" i="1"/>
  <c r="Z19" i="1"/>
  <c r="AH64" i="2"/>
  <c r="AH40" i="1"/>
  <c r="AH34" i="2"/>
  <c r="AH67" i="1"/>
  <c r="AH37" i="1"/>
  <c r="Y93" i="1"/>
  <c r="Z56" i="2"/>
  <c r="AB56" i="2" s="1"/>
  <c r="Z59" i="2"/>
  <c r="AB59" i="2" s="1"/>
  <c r="G163" i="6"/>
  <c r="AH75" i="1"/>
  <c r="AB6" i="1"/>
  <c r="S93" i="2"/>
  <c r="Z6" i="2"/>
  <c r="AA6" i="2"/>
  <c r="AA93" i="2" s="1"/>
  <c r="Z28" i="1"/>
  <c r="AB28" i="1" s="1"/>
  <c r="F110" i="6"/>
  <c r="D110" i="6"/>
  <c r="G66" i="6"/>
  <c r="AH43" i="2" l="1"/>
  <c r="G61" i="6"/>
  <c r="Z93" i="2"/>
  <c r="AH28" i="1"/>
  <c r="AH83" i="2"/>
  <c r="AH55" i="1"/>
  <c r="AH62" i="2"/>
  <c r="AH12" i="1"/>
  <c r="AH25" i="2"/>
  <c r="AH78" i="1"/>
  <c r="AH38" i="1"/>
  <c r="AH88" i="2"/>
  <c r="AH41" i="2"/>
  <c r="AH33" i="2"/>
  <c r="AH62" i="1"/>
  <c r="AH80" i="1"/>
  <c r="AH59" i="2"/>
  <c r="AH20" i="1"/>
  <c r="AH76" i="2"/>
  <c r="AH25" i="1"/>
  <c r="AB6" i="2"/>
  <c r="X97" i="2" s="1"/>
  <c r="AH72" i="2"/>
  <c r="AH52" i="1"/>
  <c r="AH37" i="2"/>
  <c r="AH56" i="2"/>
  <c r="AH19" i="1"/>
  <c r="AH9" i="1"/>
  <c r="G110" i="6"/>
  <c r="AB93" i="1"/>
  <c r="AC28" i="1" s="1"/>
  <c r="AD28" i="1" s="1"/>
  <c r="AH6" i="1"/>
  <c r="Z93" i="1"/>
  <c r="AC38" i="1" l="1"/>
  <c r="AD38" i="1" s="1"/>
  <c r="AC55" i="1"/>
  <c r="AD55" i="1" s="1"/>
  <c r="AC52" i="1"/>
  <c r="AD52" i="1" s="1"/>
  <c r="AB93" i="2"/>
  <c r="AH6" i="2"/>
  <c r="AC12" i="1"/>
  <c r="AD12" i="1" s="1"/>
  <c r="AB94" i="1"/>
  <c r="AH93" i="1"/>
  <c r="AC92" i="1"/>
  <c r="AD92" i="1" s="1"/>
  <c r="AC68" i="1"/>
  <c r="AD68" i="1" s="1"/>
  <c r="AC43" i="1"/>
  <c r="AD43" i="1" s="1"/>
  <c r="AC58" i="1"/>
  <c r="AD58" i="1" s="1"/>
  <c r="AC89" i="1"/>
  <c r="AD89" i="1" s="1"/>
  <c r="AC83" i="1"/>
  <c r="AD83" i="1" s="1"/>
  <c r="AC84" i="1"/>
  <c r="AD84" i="1" s="1"/>
  <c r="AC88" i="1"/>
  <c r="AD88" i="1" s="1"/>
  <c r="AC51" i="1"/>
  <c r="AD51" i="1" s="1"/>
  <c r="AC85" i="1"/>
  <c r="AD85" i="1" s="1"/>
  <c r="AC57" i="1"/>
  <c r="AD57" i="1" s="1"/>
  <c r="AC54" i="1"/>
  <c r="AD54" i="1" s="1"/>
  <c r="AC74" i="1"/>
  <c r="AD74" i="1" s="1"/>
  <c r="AC21" i="1"/>
  <c r="AD21" i="1" s="1"/>
  <c r="AC64" i="1"/>
  <c r="AD64" i="1" s="1"/>
  <c r="AC50" i="1"/>
  <c r="AD50" i="1" s="1"/>
  <c r="AC30" i="1"/>
  <c r="AD30" i="1" s="1"/>
  <c r="AC17" i="1"/>
  <c r="AD17" i="1" s="1"/>
  <c r="AC65" i="1"/>
  <c r="AD65" i="1" s="1"/>
  <c r="AC8" i="1"/>
  <c r="AD8" i="1" s="1"/>
  <c r="AC70" i="1"/>
  <c r="AD70" i="1" s="1"/>
  <c r="AC23" i="1"/>
  <c r="AD23" i="1" s="1"/>
  <c r="AC48" i="1"/>
  <c r="AD48" i="1" s="1"/>
  <c r="AC76" i="1"/>
  <c r="AD76" i="1" s="1"/>
  <c r="AC90" i="1"/>
  <c r="AD90" i="1" s="1"/>
  <c r="AC32" i="1"/>
  <c r="AD32" i="1" s="1"/>
  <c r="AC14" i="1"/>
  <c r="AD14" i="1" s="1"/>
  <c r="AC33" i="1"/>
  <c r="AD33" i="1" s="1"/>
  <c r="AC36" i="1"/>
  <c r="AD36" i="1" s="1"/>
  <c r="AC27" i="1"/>
  <c r="AD27" i="1" s="1"/>
  <c r="AC91" i="1"/>
  <c r="AD91" i="1" s="1"/>
  <c r="AC69" i="1"/>
  <c r="AD69" i="1" s="1"/>
  <c r="AC45" i="1"/>
  <c r="AD45" i="1" s="1"/>
  <c r="AC49" i="1"/>
  <c r="AD49" i="1" s="1"/>
  <c r="AC37" i="1"/>
  <c r="AD37" i="1" s="1"/>
  <c r="AC75" i="1"/>
  <c r="AD75" i="1" s="1"/>
  <c r="AC29" i="1"/>
  <c r="AD29" i="1" s="1"/>
  <c r="AC11" i="1"/>
  <c r="AD11" i="1" s="1"/>
  <c r="AC61" i="1"/>
  <c r="AD61" i="1" s="1"/>
  <c r="AC15" i="1"/>
  <c r="AD15" i="1" s="1"/>
  <c r="AC41" i="1"/>
  <c r="AD41" i="1" s="1"/>
  <c r="AC39" i="1"/>
  <c r="AD39" i="1" s="1"/>
  <c r="AC71" i="1"/>
  <c r="AD71" i="1" s="1"/>
  <c r="AC35" i="1"/>
  <c r="AD35" i="1" s="1"/>
  <c r="AC13" i="1"/>
  <c r="AD13" i="1" s="1"/>
  <c r="AC87" i="1"/>
  <c r="AD87" i="1" s="1"/>
  <c r="AC46" i="1"/>
  <c r="AD46" i="1" s="1"/>
  <c r="AC7" i="1"/>
  <c r="AD7" i="1" s="1"/>
  <c r="AC26" i="1"/>
  <c r="AD26" i="1" s="1"/>
  <c r="AC73" i="1"/>
  <c r="AD73" i="1" s="1"/>
  <c r="AC18" i="1"/>
  <c r="AD18" i="1" s="1"/>
  <c r="AC22" i="1"/>
  <c r="AD22" i="1" s="1"/>
  <c r="AC77" i="1"/>
  <c r="AD77" i="1" s="1"/>
  <c r="AC86" i="1"/>
  <c r="AD86" i="1" s="1"/>
  <c r="AC72" i="1"/>
  <c r="AD72" i="1" s="1"/>
  <c r="AC67" i="1"/>
  <c r="AD67" i="1" s="1"/>
  <c r="AC47" i="1"/>
  <c r="AD47" i="1" s="1"/>
  <c r="AC16" i="1"/>
  <c r="AD16" i="1" s="1"/>
  <c r="AC10" i="1"/>
  <c r="AD10" i="1" s="1"/>
  <c r="AC34" i="1"/>
  <c r="AD34" i="1" s="1"/>
  <c r="AC42" i="1"/>
  <c r="AD42" i="1" s="1"/>
  <c r="AC63" i="1"/>
  <c r="AD63" i="1" s="1"/>
  <c r="AC24" i="1"/>
  <c r="AD24" i="1" s="1"/>
  <c r="AC44" i="1"/>
  <c r="AD44" i="1" s="1"/>
  <c r="AC82" i="1"/>
  <c r="AD82" i="1" s="1"/>
  <c r="AC66" i="1"/>
  <c r="AD66" i="1" s="1"/>
  <c r="AC31" i="1"/>
  <c r="AD31" i="1" s="1"/>
  <c r="AC81" i="1"/>
  <c r="AD81" i="1" s="1"/>
  <c r="AC79" i="1"/>
  <c r="AD79" i="1" s="1"/>
  <c r="AC53" i="1"/>
  <c r="AD53" i="1" s="1"/>
  <c r="AC56" i="1"/>
  <c r="AD56" i="1" s="1"/>
  <c r="AC60" i="1"/>
  <c r="AD60" i="1" s="1"/>
  <c r="AC40" i="1"/>
  <c r="AD40" i="1" s="1"/>
  <c r="AC59" i="1"/>
  <c r="AD59" i="1" s="1"/>
  <c r="AC25" i="1"/>
  <c r="AD25" i="1" s="1"/>
  <c r="AC62" i="1"/>
  <c r="AD62" i="1" s="1"/>
  <c r="AC78" i="1"/>
  <c r="AD78" i="1" s="1"/>
  <c r="AC19" i="1"/>
  <c r="AD19" i="1" s="1"/>
  <c r="AC6" i="1"/>
  <c r="AD6" i="1" s="1"/>
  <c r="AC9" i="1"/>
  <c r="AD9" i="1" s="1"/>
  <c r="AC20" i="1"/>
  <c r="AD20" i="1" s="1"/>
  <c r="AC80" i="1"/>
  <c r="AD80" i="1" s="1"/>
  <c r="AB94" i="2" l="1"/>
  <c r="AB97" i="2" s="1"/>
  <c r="AH93" i="2"/>
  <c r="AC13" i="2"/>
  <c r="C12" i="3" s="1"/>
  <c r="AC92" i="2"/>
  <c r="AD92" i="2" s="1"/>
  <c r="AC44" i="2"/>
  <c r="AD44" i="2" s="1"/>
  <c r="AC48" i="2"/>
  <c r="AC14" i="2"/>
  <c r="C13" i="3" s="1"/>
  <c r="AC43" i="2"/>
  <c r="AC52" i="2"/>
  <c r="AD52" i="2" s="1"/>
  <c r="AC12" i="2"/>
  <c r="C11" i="3" s="1"/>
  <c r="AC38" i="2"/>
  <c r="AD38" i="2" s="1"/>
  <c r="AC91" i="2"/>
  <c r="AD91" i="2" s="1"/>
  <c r="AC28" i="2"/>
  <c r="AD28" i="2" s="1"/>
  <c r="AC24" i="2"/>
  <c r="AD24" i="2" s="1"/>
  <c r="AC10" i="2"/>
  <c r="C9" i="3" s="1"/>
  <c r="AC54" i="2"/>
  <c r="AD54" i="2" s="1"/>
  <c r="AC45" i="2"/>
  <c r="AD45" i="2" s="1"/>
  <c r="AC90" i="2"/>
  <c r="AD90" i="2" s="1"/>
  <c r="AC18" i="2"/>
  <c r="C17" i="3" s="1"/>
  <c r="AC60" i="2"/>
  <c r="AD60" i="2" s="1"/>
  <c r="AC87" i="2"/>
  <c r="AD87" i="2" s="1"/>
  <c r="AC84" i="2"/>
  <c r="AD84" i="2" s="1"/>
  <c r="AC53" i="2"/>
  <c r="AD53" i="2" s="1"/>
  <c r="AC55" i="2"/>
  <c r="C23" i="3" s="1"/>
  <c r="AC21" i="2"/>
  <c r="AD21" i="2" s="1"/>
  <c r="AC39" i="2"/>
  <c r="AD39" i="2" s="1"/>
  <c r="AC26" i="2"/>
  <c r="C19" i="3" s="1"/>
  <c r="AC78" i="2"/>
  <c r="AD78" i="2" s="1"/>
  <c r="AC64" i="2"/>
  <c r="C24" i="3" s="1"/>
  <c r="AC75" i="2"/>
  <c r="AD75" i="2" s="1"/>
  <c r="AC40" i="2"/>
  <c r="AD40" i="2" s="1"/>
  <c r="AC58" i="2"/>
  <c r="AD58" i="2" s="1"/>
  <c r="AC22" i="2"/>
  <c r="AC57" i="2"/>
  <c r="AD57" i="2" s="1"/>
  <c r="AC70" i="2"/>
  <c r="AD70" i="2" s="1"/>
  <c r="AC31" i="2"/>
  <c r="AD31" i="2" s="1"/>
  <c r="AC82" i="2"/>
  <c r="AD82" i="2" s="1"/>
  <c r="AC47" i="2"/>
  <c r="C22" i="3" s="1"/>
  <c r="AC30" i="2"/>
  <c r="AD30" i="2" s="1"/>
  <c r="AC7" i="2"/>
  <c r="C6" i="3" s="1"/>
  <c r="AC8" i="2"/>
  <c r="C7" i="3" s="1"/>
  <c r="AC67" i="2"/>
  <c r="AD67" i="2" s="1"/>
  <c r="AC61" i="2"/>
  <c r="AD61" i="2" s="1"/>
  <c r="AC79" i="2"/>
  <c r="AD79" i="2" s="1"/>
  <c r="AC89" i="2"/>
  <c r="AD89" i="2" s="1"/>
  <c r="AC11" i="2"/>
  <c r="C10" i="3" s="1"/>
  <c r="AC19" i="2"/>
  <c r="C18" i="3" s="1"/>
  <c r="AC51" i="2"/>
  <c r="AD51" i="2" s="1"/>
  <c r="AC46" i="2"/>
  <c r="AD46" i="2" s="1"/>
  <c r="AC68" i="2"/>
  <c r="AD68" i="2" s="1"/>
  <c r="AC50" i="2"/>
  <c r="AD50" i="2" s="1"/>
  <c r="AC63" i="2"/>
  <c r="AD63" i="2" s="1"/>
  <c r="AC16" i="2"/>
  <c r="C15" i="3" s="1"/>
  <c r="AC73" i="2"/>
  <c r="AC9" i="2"/>
  <c r="C8" i="3" s="1"/>
  <c r="AC34" i="2"/>
  <c r="AD34" i="2" s="1"/>
  <c r="AC65" i="2"/>
  <c r="AC71" i="2"/>
  <c r="AD71" i="2" s="1"/>
  <c r="AC29" i="2"/>
  <c r="AD29" i="2" s="1"/>
  <c r="AC77" i="2"/>
  <c r="AD77" i="2" s="1"/>
  <c r="AC86" i="2"/>
  <c r="AC49" i="2"/>
  <c r="AD49" i="2" s="1"/>
  <c r="AC66" i="2"/>
  <c r="AD66" i="2" s="1"/>
  <c r="AC81" i="2"/>
  <c r="AD81" i="2" s="1"/>
  <c r="AC32" i="2"/>
  <c r="C20" i="3" s="1"/>
  <c r="AC15" i="2"/>
  <c r="C14" i="3" s="1"/>
  <c r="AC80" i="2"/>
  <c r="AD80" i="2" s="1"/>
  <c r="AC85" i="2"/>
  <c r="C26" i="3" s="1"/>
  <c r="AC69" i="2"/>
  <c r="AD69" i="2" s="1"/>
  <c r="AC42" i="2"/>
  <c r="C21" i="3" s="1"/>
  <c r="AC74" i="2"/>
  <c r="AD74" i="2" s="1"/>
  <c r="AC17" i="2"/>
  <c r="C16" i="3" s="1"/>
  <c r="AC35" i="2"/>
  <c r="AD35" i="2" s="1"/>
  <c r="AC27" i="2"/>
  <c r="AC23" i="2"/>
  <c r="AD23" i="2" s="1"/>
  <c r="AC20" i="2"/>
  <c r="AC36" i="2"/>
  <c r="AD36" i="2" s="1"/>
  <c r="AC83" i="2"/>
  <c r="AD83" i="2" s="1"/>
  <c r="AC25" i="2"/>
  <c r="AD25" i="2" s="1"/>
  <c r="AC88" i="2"/>
  <c r="AD88" i="2" s="1"/>
  <c r="AC41" i="2"/>
  <c r="AD41" i="2" s="1"/>
  <c r="AC33" i="2"/>
  <c r="AC56" i="2"/>
  <c r="AC72" i="2"/>
  <c r="C25" i="3" s="1"/>
  <c r="AC59" i="2"/>
  <c r="AD59" i="2" s="1"/>
  <c r="AC37" i="2"/>
  <c r="AD37" i="2" s="1"/>
  <c r="AC62" i="2"/>
  <c r="AD62" i="2" s="1"/>
  <c r="AC76" i="2"/>
  <c r="AD76" i="2" s="1"/>
  <c r="AD93" i="1"/>
  <c r="AB96" i="1"/>
  <c r="AC6" i="2"/>
  <c r="C5" i="3" s="1"/>
  <c r="D21" i="3" l="1"/>
  <c r="D25" i="3"/>
  <c r="D22" i="3"/>
  <c r="D26" i="3"/>
  <c r="D23" i="3"/>
  <c r="D20" i="3"/>
  <c r="D19" i="3"/>
  <c r="D24" i="3"/>
  <c r="AD22" i="2"/>
  <c r="K18" i="3" s="1"/>
  <c r="D18" i="3"/>
  <c r="AD56" i="2"/>
  <c r="K23" i="3" s="1"/>
  <c r="AD9" i="2"/>
  <c r="J8" i="3" s="1"/>
  <c r="T8" i="3" s="1"/>
  <c r="V8" i="3" s="1"/>
  <c r="AD19" i="2"/>
  <c r="J18" i="3" s="1"/>
  <c r="AD26" i="2"/>
  <c r="J19" i="3" s="1"/>
  <c r="T19" i="3" s="1"/>
  <c r="AD18" i="2"/>
  <c r="J17" i="3" s="1"/>
  <c r="T17" i="3" s="1"/>
  <c r="V17" i="3" s="1"/>
  <c r="AD10" i="2"/>
  <c r="J9" i="3" s="1"/>
  <c r="T9" i="3" s="1"/>
  <c r="V9" i="3" s="1"/>
  <c r="AD14" i="2"/>
  <c r="J13" i="3" s="1"/>
  <c r="T13" i="3" s="1"/>
  <c r="V13" i="3" s="1"/>
  <c r="AD13" i="2"/>
  <c r="J12" i="3" s="1"/>
  <c r="T12" i="3" s="1"/>
  <c r="V12" i="3" s="1"/>
  <c r="AD33" i="2"/>
  <c r="K20" i="3" s="1"/>
  <c r="AD27" i="2"/>
  <c r="K19" i="3" s="1"/>
  <c r="AD42" i="2"/>
  <c r="J21" i="3" s="1"/>
  <c r="T21" i="3" s="1"/>
  <c r="AD15" i="2"/>
  <c r="J14" i="3" s="1"/>
  <c r="T14" i="3" s="1"/>
  <c r="V14" i="3" s="1"/>
  <c r="AD73" i="2"/>
  <c r="K25" i="3" s="1"/>
  <c r="AD11" i="2"/>
  <c r="J10" i="3" s="1"/>
  <c r="T10" i="3" s="1"/>
  <c r="V10" i="3" s="1"/>
  <c r="AD47" i="2"/>
  <c r="J22" i="3" s="1"/>
  <c r="T22" i="3" s="1"/>
  <c r="AD12" i="2"/>
  <c r="J11" i="3" s="1"/>
  <c r="T11" i="3" s="1"/>
  <c r="V11" i="3" s="1"/>
  <c r="AD48" i="2"/>
  <c r="K22" i="3" s="1"/>
  <c r="AD32" i="2"/>
  <c r="J20" i="3" s="1"/>
  <c r="T20" i="3" s="1"/>
  <c r="AD86" i="2"/>
  <c r="K26" i="3" s="1"/>
  <c r="AD65" i="2"/>
  <c r="K24" i="3" s="1"/>
  <c r="AD16" i="2"/>
  <c r="J15" i="3" s="1"/>
  <c r="T15" i="3" s="1"/>
  <c r="V15" i="3" s="1"/>
  <c r="AD8" i="2"/>
  <c r="J7" i="3" s="1"/>
  <c r="T7" i="3" s="1"/>
  <c r="V7" i="3" s="1"/>
  <c r="AD64" i="2"/>
  <c r="J24" i="3" s="1"/>
  <c r="T24" i="3" s="1"/>
  <c r="AD6" i="2"/>
  <c r="J5" i="3" s="1"/>
  <c r="T5" i="3" s="1"/>
  <c r="AD72" i="2"/>
  <c r="J25" i="3" s="1"/>
  <c r="T25" i="3" s="1"/>
  <c r="AD20" i="2"/>
  <c r="AD17" i="2"/>
  <c r="J16" i="3" s="1"/>
  <c r="T16" i="3" s="1"/>
  <c r="V16" i="3" s="1"/>
  <c r="AD85" i="2"/>
  <c r="J26" i="3" s="1"/>
  <c r="T26" i="3" s="1"/>
  <c r="AD7" i="2"/>
  <c r="J6" i="3" s="1"/>
  <c r="T6" i="3" s="1"/>
  <c r="V6" i="3" s="1"/>
  <c r="AD55" i="2"/>
  <c r="J23" i="3" s="1"/>
  <c r="T23" i="3" s="1"/>
  <c r="AD43" i="2"/>
  <c r="K21" i="3" s="1"/>
  <c r="U21" i="3" s="1"/>
  <c r="U23" i="3" l="1"/>
  <c r="W14" i="3"/>
  <c r="Y14" i="3" s="1"/>
  <c r="W10" i="3"/>
  <c r="Y10" i="3" s="1"/>
  <c r="Y16" i="3"/>
  <c r="V21" i="3"/>
  <c r="W8" i="3"/>
  <c r="Y8" i="3" s="1"/>
  <c r="W11" i="3"/>
  <c r="Y11" i="3" s="1"/>
  <c r="W12" i="3"/>
  <c r="Y12" i="3" s="1"/>
  <c r="U18" i="3"/>
  <c r="W13" i="3"/>
  <c r="Y13" i="3" s="1"/>
  <c r="V23" i="3"/>
  <c r="Y7" i="3"/>
  <c r="W9" i="3"/>
  <c r="Y9" i="3" s="1"/>
  <c r="W6" i="3"/>
  <c r="Y6" i="3" s="1"/>
  <c r="Y15" i="3"/>
  <c r="W17" i="3"/>
  <c r="Y17" i="3" s="1"/>
  <c r="U19" i="3"/>
  <c r="V19" i="3" s="1"/>
  <c r="U20" i="3"/>
  <c r="V20" i="3" s="1"/>
  <c r="U25" i="3"/>
  <c r="V25" i="3" s="1"/>
  <c r="U24" i="3"/>
  <c r="V24" i="3" s="1"/>
  <c r="L18" i="3"/>
  <c r="M18" i="3" s="1"/>
  <c r="U26" i="3"/>
  <c r="V26" i="3" s="1"/>
  <c r="T18" i="3"/>
  <c r="U22" i="3"/>
  <c r="V22" i="3" s="1"/>
  <c r="E23" i="3"/>
  <c r="F23" i="3" s="1"/>
  <c r="L23" i="3"/>
  <c r="E26" i="3"/>
  <c r="F26" i="3" s="1"/>
  <c r="L26" i="3"/>
  <c r="E11" i="3"/>
  <c r="F11" i="3" s="1"/>
  <c r="L11" i="3"/>
  <c r="E20" i="3"/>
  <c r="F20" i="3" s="1"/>
  <c r="L20" i="3"/>
  <c r="E25" i="3"/>
  <c r="F25" i="3" s="1"/>
  <c r="L25" i="3"/>
  <c r="E10" i="3"/>
  <c r="F10" i="3" s="1"/>
  <c r="L10" i="3"/>
  <c r="C27" i="3"/>
  <c r="E5" i="3"/>
  <c r="F5" i="3" s="1"/>
  <c r="E13" i="3"/>
  <c r="F13" i="3" s="1"/>
  <c r="L13" i="3"/>
  <c r="E6" i="3"/>
  <c r="F6" i="3" s="1"/>
  <c r="L6" i="3"/>
  <c r="E19" i="3"/>
  <c r="F19" i="3" s="1"/>
  <c r="L19" i="3"/>
  <c r="E7" i="3"/>
  <c r="F7" i="3" s="1"/>
  <c r="L7" i="3"/>
  <c r="E12" i="3"/>
  <c r="F12" i="3" s="1"/>
  <c r="L12" i="3"/>
  <c r="E17" i="3"/>
  <c r="F17" i="3" s="1"/>
  <c r="L17" i="3"/>
  <c r="E9" i="3"/>
  <c r="F9" i="3" s="1"/>
  <c r="L9" i="3"/>
  <c r="E8" i="3"/>
  <c r="F8" i="3" s="1"/>
  <c r="AD93" i="2"/>
  <c r="AC95" i="2" s="1"/>
  <c r="E24" i="3"/>
  <c r="F24" i="3" s="1"/>
  <c r="L24" i="3"/>
  <c r="E15" i="3"/>
  <c r="L15" i="3"/>
  <c r="E22" i="3"/>
  <c r="F22" i="3" s="1"/>
  <c r="L22" i="3"/>
  <c r="D27" i="3"/>
  <c r="E21" i="3"/>
  <c r="L21" i="3"/>
  <c r="E14" i="3"/>
  <c r="F14" i="3" s="1"/>
  <c r="L14" i="3"/>
  <c r="E16" i="3"/>
  <c r="F16" i="3" s="1"/>
  <c r="L16" i="3"/>
  <c r="E18" i="3"/>
  <c r="F18" i="3" s="1"/>
  <c r="F27" i="3" l="1"/>
  <c r="P22" i="3"/>
  <c r="M9" i="3"/>
  <c r="P9" i="3" s="1"/>
  <c r="P19" i="3"/>
  <c r="M10" i="3"/>
  <c r="P10" i="3" s="1"/>
  <c r="M16" i="3"/>
  <c r="P16" i="3" s="1"/>
  <c r="M15" i="3"/>
  <c r="P15" i="3" s="1"/>
  <c r="M17" i="3"/>
  <c r="P17" i="3" s="1"/>
  <c r="M6" i="3"/>
  <c r="P6" i="3" s="1"/>
  <c r="M25" i="3"/>
  <c r="P25" i="3" s="1"/>
  <c r="M23" i="3"/>
  <c r="P23" i="3" s="1"/>
  <c r="M14" i="3"/>
  <c r="P14" i="3" s="1"/>
  <c r="M7" i="3"/>
  <c r="P7" i="3" s="1"/>
  <c r="M24" i="3"/>
  <c r="P24" i="3" s="1"/>
  <c r="M12" i="3"/>
  <c r="P12" i="3" s="1"/>
  <c r="M13" i="3"/>
  <c r="P13" i="3" s="1"/>
  <c r="P21" i="3"/>
  <c r="Y19" i="3"/>
  <c r="Y25" i="3"/>
  <c r="W21" i="3"/>
  <c r="Y21" i="3" s="1"/>
  <c r="Y20" i="3"/>
  <c r="W26" i="3"/>
  <c r="Y26" i="3" s="1"/>
  <c r="P20" i="3"/>
  <c r="W22" i="3"/>
  <c r="Y22" i="3" s="1"/>
  <c r="P11" i="3"/>
  <c r="P26" i="3"/>
  <c r="W24" i="3"/>
  <c r="Y24" i="3" s="1"/>
  <c r="W23" i="3"/>
  <c r="Y23" i="3" s="1"/>
  <c r="L8" i="3"/>
  <c r="E27" i="3"/>
  <c r="F29" i="3" s="1"/>
  <c r="J27" i="3"/>
  <c r="T27" i="3"/>
  <c r="P18" i="3"/>
  <c r="V18" i="3"/>
  <c r="K27" i="3"/>
  <c r="U5" i="3"/>
  <c r="V5" i="3" s="1"/>
  <c r="L5" i="3"/>
  <c r="P5" i="3" s="1"/>
  <c r="M8" i="3" l="1"/>
  <c r="P8" i="3" s="1"/>
  <c r="P27" i="3" s="1"/>
  <c r="W18" i="3"/>
  <c r="Y18" i="3" s="1"/>
  <c r="V27" i="3"/>
  <c r="M27" i="3"/>
  <c r="U27" i="3"/>
  <c r="L27" i="3"/>
  <c r="W27" i="3" l="1"/>
  <c r="Y5" i="3"/>
  <c r="Y27" i="3" s="1"/>
  <c r="M29" i="3"/>
  <c r="P29" i="3"/>
  <c r="W29" i="3" l="1"/>
  <c r="Y29" i="3" l="1"/>
  <c r="Z2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tc={003A000E-0008-42E1-B962-004400D90082}</author>
    <author>tc={00BB0044-0039-46AC-8CE3-00AC005A00F5}</author>
  </authors>
  <commentList>
    <comment ref="H4" authorId="0" shapeId="0" xr:uid="{00000000-0006-0000-0000-000001000000}">
      <text>
        <r>
          <rPr>
            <b/>
            <sz val="9"/>
            <rFont val="Tahoma"/>
            <family val="2"/>
            <charset val="204"/>
          </rPr>
          <t>Автор:</t>
        </r>
        <r>
          <rPr>
            <sz val="9"/>
            <rFont val="Tahoma"/>
            <family val="2"/>
            <charset val="204"/>
          </rPr>
          <t xml:space="preserve">
247,5 рабочего дня в году x 7,2 рабочих часов в день (36 часовая неделя)
</t>
        </r>
      </text>
    </comment>
    <comment ref="N4" authorId="1" shapeId="0" xr:uid="{00000000-0006-0000-0000-000002000000}">
      <text>
        <r>
          <rPr>
            <b/>
            <sz val="9"/>
            <rFont val="Tahoma"/>
            <family val="2"/>
            <charset val="204"/>
          </rPr>
          <t>Автор:</t>
        </r>
        <r>
          <rPr>
            <sz val="9"/>
            <rFont val="Tahoma"/>
            <family val="2"/>
            <charset val="204"/>
          </rPr>
          <t xml:space="preserve">
Указ Президента РФ от 25 июля 2006 г. № 763 "О денежном содержании федеральных государственных гражданских служащих"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tc={009A004B-00C7-4B4D-AA4C-008D009C00CD}</author>
  </authors>
  <commentList>
    <comment ref="B4" authorId="0" shapeId="0" xr:uid="{00000000-0006-0000-0400-000001000000}">
      <text>
        <r>
          <rPr>
            <b/>
            <sz val="9"/>
            <rFont val="Tahoma"/>
            <family val="2"/>
            <charset val="204"/>
          </rPr>
          <t>Автор:</t>
        </r>
        <r>
          <rPr>
            <sz val="9"/>
            <rFont val="Tahoma"/>
            <family val="2"/>
            <charset val="204"/>
          </rPr>
          <t xml:space="preserve">
с учетом индексации ФОТ с 01.10.2025 на 4%
</t>
        </r>
      </text>
    </comment>
  </commentList>
</comments>
</file>

<file path=xl/sharedStrings.xml><?xml version="1.0" encoding="utf-8"?>
<sst xmlns="http://schemas.openxmlformats.org/spreadsheetml/2006/main" count="856" uniqueCount="469">
  <si>
    <t>ПРЕДВАРИТЕЛЬНЫЙ расчет объема субвенции, предоставляемой бюджетам муниципальных образований Ханты-Мансийского автономного округа - Югры на осуществление переданных государственных
полномочий на государственную регистрацию актов гражданского состояния на 2026 год к ПРОЕКТУ ЗАКОНА</t>
  </si>
  <si>
    <t>Код МО</t>
  </si>
  <si>
    <t>Наименование муниципального образования</t>
  </si>
  <si>
    <t>АГС и ЮЗД</t>
  </si>
  <si>
    <r>
      <t xml:space="preserve">Qн
</t>
    </r>
    <r>
      <rPr>
        <b/>
        <sz val="11"/>
        <color theme="1"/>
        <rFont val="Times New Roman"/>
        <family val="1"/>
        <charset val="204"/>
      </rPr>
      <t>(общее время+норматив рв+коэфф расс)</t>
    </r>
  </si>
  <si>
    <r>
      <t xml:space="preserve">Vн 
</t>
    </r>
    <r>
      <rPr>
        <b/>
        <sz val="11"/>
        <color theme="1"/>
        <rFont val="Times New Roman"/>
        <family val="1"/>
        <charset val="204"/>
      </rPr>
      <t>(оклад+коэфф+районный+страховые)</t>
    </r>
  </si>
  <si>
    <t>Объем субвенции 2026 год</t>
  </si>
  <si>
    <t>Объем субвенции 
2025 года</t>
  </si>
  <si>
    <t xml:space="preserve">Разница
</t>
  </si>
  <si>
    <t>АГС 
за 
2022-2024 среднее</t>
  </si>
  <si>
    <t>ЮЗД 
за 
2022-2024 среднее</t>
  </si>
  <si>
    <t>АГС и ЮЗД 
2022-2024 среднее</t>
  </si>
  <si>
    <t>Время на совершение 1 АГС или ЮЗД</t>
  </si>
  <si>
    <r>
      <rPr>
        <sz val="10"/>
        <rFont val="Times New Roman"/>
        <family val="1"/>
        <charset val="204"/>
      </rPr>
      <t>Общее время, необходимое для совершения всего количества АГС и ЮЗД</t>
    </r>
    <r>
      <rPr>
        <b/>
        <sz val="10"/>
        <rFont val="Times New Roman"/>
        <family val="1"/>
        <charset val="204"/>
      </rPr>
      <t xml:space="preserve"> (То)</t>
    </r>
  </si>
  <si>
    <r>
      <t xml:space="preserve">Норматив рабочего времени </t>
    </r>
    <r>
      <rPr>
        <b/>
        <sz val="10"/>
        <rFont val="Times New Roman"/>
        <family val="1"/>
        <charset val="204"/>
      </rPr>
      <t xml:space="preserve">(Тнорм) </t>
    </r>
  </si>
  <si>
    <r>
      <t xml:space="preserve">Коэф. расселения </t>
    </r>
    <r>
      <rPr>
        <b/>
        <sz val="10"/>
        <color theme="1"/>
        <rFont val="Times New Roman"/>
        <family val="1"/>
        <charset val="204"/>
      </rPr>
      <t>(Красс)</t>
    </r>
  </si>
  <si>
    <r>
      <t>Корректирующий коэффициент численности</t>
    </r>
    <r>
      <rPr>
        <b/>
        <sz val="10"/>
        <color theme="1"/>
        <rFont val="Times New Roman"/>
        <family val="1"/>
        <charset val="204"/>
      </rPr>
      <t xml:space="preserve"> (Кчисл = 1,1)</t>
    </r>
  </si>
  <si>
    <t>нормативная численность работников (Qн)</t>
  </si>
  <si>
    <t>Норматив
2025 
года</t>
  </si>
  <si>
    <t>Разница
штата</t>
  </si>
  <si>
    <t>Должностной оклад главного специалиста - эксперта (Указ Президента РФ №763 от 25.07.2006)</t>
  </si>
  <si>
    <r>
      <t xml:space="preserve">коэф. средней заработной платы </t>
    </r>
    <r>
      <rPr>
        <b/>
        <sz val="10"/>
        <color theme="1"/>
        <rFont val="Times New Roman"/>
        <family val="1"/>
        <charset val="204"/>
      </rPr>
      <t>(1,8)</t>
    </r>
  </si>
  <si>
    <r>
      <t xml:space="preserve">районный коэффицент+процентная надбавка </t>
    </r>
    <r>
      <rPr>
        <b/>
        <sz val="10"/>
        <color theme="1"/>
        <rFont val="Times New Roman"/>
        <family val="1"/>
        <charset val="204"/>
      </rPr>
      <t>( Закон № 76-оз)</t>
    </r>
  </si>
  <si>
    <t>Страховые взносы 30,2 %</t>
  </si>
  <si>
    <r>
      <t xml:space="preserve">Расходы на оплату труда одного муниципального служащего в год
 </t>
    </r>
    <r>
      <rPr>
        <b/>
        <sz val="10"/>
        <color theme="1"/>
        <rFont val="Times New Roman"/>
        <family val="1"/>
        <charset val="204"/>
      </rPr>
      <t>(Vн)</t>
    </r>
  </si>
  <si>
    <t>Расходы на оплату труда муниципаль ных служащих (Zн)</t>
  </si>
  <si>
    <r>
      <t xml:space="preserve">Численность обслуживающего персонала </t>
    </r>
    <r>
      <rPr>
        <b/>
        <sz val="10"/>
        <color theme="1"/>
        <rFont val="Times New Roman"/>
        <family val="1"/>
        <charset val="204"/>
      </rPr>
      <t>(Qo )</t>
    </r>
    <r>
      <rPr>
        <sz val="10"/>
        <color theme="1"/>
        <rFont val="Times New Roman"/>
        <family val="1"/>
        <charset val="204"/>
      </rPr>
      <t xml:space="preserve"> </t>
    </r>
  </si>
  <si>
    <t xml:space="preserve">МРОТ (Федеральный закон от 29.10.2024 N 365-ФЗ)
</t>
  </si>
  <si>
    <r>
      <t xml:space="preserve">МРОТ с районным коэффицентом +процентной надбавкой  </t>
    </r>
    <r>
      <rPr>
        <b/>
        <sz val="10"/>
        <color theme="1"/>
        <rFont val="Times New Roman"/>
        <family val="1"/>
        <charset val="204"/>
      </rPr>
      <t>(Закон № 76-оз)</t>
    </r>
  </si>
  <si>
    <t>страховые взносы 30,2 %</t>
  </si>
  <si>
    <r>
      <t xml:space="preserve">Расходы на оплату труда и начисления 1 ставку </t>
    </r>
    <r>
      <rPr>
        <b/>
        <sz val="10"/>
        <color theme="1"/>
        <rFont val="Times New Roman"/>
        <family val="1"/>
        <charset val="204"/>
      </rPr>
      <t>(Vо)</t>
    </r>
  </si>
  <si>
    <r>
      <t>Расходы на оплату труда на численность обслуживающего персонала</t>
    </r>
    <r>
      <rPr>
        <b/>
        <sz val="10"/>
        <color theme="1"/>
        <rFont val="Times New Roman"/>
        <family val="1"/>
        <charset val="204"/>
      </rPr>
      <t xml:space="preserve"> (Zо)</t>
    </r>
  </si>
  <si>
    <t xml:space="preserve">Прочие расходы (Mз) </t>
  </si>
  <si>
    <t xml:space="preserve">Оплата проезда (Oкс) </t>
  </si>
  <si>
    <t>Объем субвенции (Sмо)</t>
  </si>
  <si>
    <t>ФБ</t>
  </si>
  <si>
    <t>БАО</t>
  </si>
  <si>
    <t>Общая сумма</t>
  </si>
  <si>
    <t>отчетные данные</t>
  </si>
  <si>
    <t>АГС+ЮЗД</t>
  </si>
  <si>
    <t>(АГЗ+ЮЗД)*1,12</t>
  </si>
  <si>
    <t>То/Тнорм*Красс*Кчисл</t>
  </si>
  <si>
    <t>(18042,0* 1,04*1,055)</t>
  </si>
  <si>
    <t>19797*1,8*2,2(2,5)*1,302*12</t>
  </si>
  <si>
    <t>Sн*Qн</t>
  </si>
  <si>
    <t>Qн/Кчисл* 0,2</t>
  </si>
  <si>
    <t>So*Qo</t>
  </si>
  <si>
    <t>(Zн+Zо)*0,2</t>
  </si>
  <si>
    <t>(Qн/2*Vн/12*1)+ (Qо/2*Vо/12*1)</t>
  </si>
  <si>
    <t>Zн+Zо+Мз+Окс</t>
  </si>
  <si>
    <t>Когалым</t>
  </si>
  <si>
    <t>Лангепас</t>
  </si>
  <si>
    <t>Мегион</t>
  </si>
  <si>
    <t>Нефтеюганск</t>
  </si>
  <si>
    <t>Нижневартовск</t>
  </si>
  <si>
    <t>Нягань</t>
  </si>
  <si>
    <t>Покачи</t>
  </si>
  <si>
    <t>Пыть-Ях</t>
  </si>
  <si>
    <t>Радужный</t>
  </si>
  <si>
    <t>Сургут</t>
  </si>
  <si>
    <t>Урай</t>
  </si>
  <si>
    <t>Ханты-Мансийск</t>
  </si>
  <si>
    <t>Югорск</t>
  </si>
  <si>
    <t>Белоярский район</t>
  </si>
  <si>
    <t>Верхнеказымский</t>
  </si>
  <si>
    <t>Казым</t>
  </si>
  <si>
    <t>Лыхма</t>
  </si>
  <si>
    <t>Полноват</t>
  </si>
  <si>
    <t>Сорум</t>
  </si>
  <si>
    <t>Сосновка</t>
  </si>
  <si>
    <t>Березовский район</t>
  </si>
  <si>
    <t>Игрим</t>
  </si>
  <si>
    <t>Приполярный</t>
  </si>
  <si>
    <t>Саранпауль</t>
  </si>
  <si>
    <t>Светлый</t>
  </si>
  <si>
    <t>Хулимсунт</t>
  </si>
  <si>
    <t>Кондинский район</t>
  </si>
  <si>
    <t>Болчары</t>
  </si>
  <si>
    <t>Кондинское</t>
  </si>
  <si>
    <t>Куминский</t>
  </si>
  <si>
    <t>Леуши</t>
  </si>
  <si>
    <t>Луговой</t>
  </si>
  <si>
    <t>Мортка</t>
  </si>
  <si>
    <t>Мулымья</t>
  </si>
  <si>
    <t>Половинка</t>
  </si>
  <si>
    <t>Шугур</t>
  </si>
  <si>
    <t>Нефтеюганский район</t>
  </si>
  <si>
    <t>Куть-Ях</t>
  </si>
  <si>
    <t>Пойковский</t>
  </si>
  <si>
    <t>Салым</t>
  </si>
  <si>
    <t>Усть-Юган</t>
  </si>
  <si>
    <t>Нижневартовский район</t>
  </si>
  <si>
    <t>Аган</t>
  </si>
  <si>
    <t>Вата</t>
  </si>
  <si>
    <t>Ваховск</t>
  </si>
  <si>
    <t>Зайцева речка</t>
  </si>
  <si>
    <t>Ларьяк</t>
  </si>
  <si>
    <t>Новоаганск</t>
  </si>
  <si>
    <t>Покур</t>
  </si>
  <si>
    <t>Октябрьский район</t>
  </si>
  <si>
    <t>Карымкары</t>
  </si>
  <si>
    <t>Малый Атлым</t>
  </si>
  <si>
    <t>Перегребное</t>
  </si>
  <si>
    <t>Приобье</t>
  </si>
  <si>
    <t>Сергино</t>
  </si>
  <si>
    <t>Талинка</t>
  </si>
  <si>
    <t>Уньюган</t>
  </si>
  <si>
    <t>Шеркалы</t>
  </si>
  <si>
    <t>Советский район</t>
  </si>
  <si>
    <t>Агириш</t>
  </si>
  <si>
    <t>Алябьевский</t>
  </si>
  <si>
    <t>Зеленоборск</t>
  </si>
  <si>
    <t>Коммунистический</t>
  </si>
  <si>
    <t>Малиновский</t>
  </si>
  <si>
    <t>Пионерский</t>
  </si>
  <si>
    <t>Таежный</t>
  </si>
  <si>
    <t>Сургутский район</t>
  </si>
  <si>
    <t>Барсово</t>
  </si>
  <si>
    <t>Белый Яр</t>
  </si>
  <si>
    <t>Лямина</t>
  </si>
  <si>
    <t>Лянтор</t>
  </si>
  <si>
    <t>Нижнесортымский</t>
  </si>
  <si>
    <t>Русскинская</t>
  </si>
  <si>
    <t>Солнечный</t>
  </si>
  <si>
    <t>Сытомино</t>
  </si>
  <si>
    <t>Тундрино</t>
  </si>
  <si>
    <t>Угут</t>
  </si>
  <si>
    <t>Ульт-Ягун</t>
  </si>
  <si>
    <t>Федоровский</t>
  </si>
  <si>
    <t>Ханты-Мансийский район</t>
  </si>
  <si>
    <t>Выкатной</t>
  </si>
  <si>
    <t>Горноправдинск</t>
  </si>
  <si>
    <t>Красноленинский</t>
  </si>
  <si>
    <t>Луговской</t>
  </si>
  <si>
    <t>Нялинское</t>
  </si>
  <si>
    <t>Селиярово</t>
  </si>
  <si>
    <t>Сибирский</t>
  </si>
  <si>
    <t>Итого</t>
  </si>
  <si>
    <t>Объем субвенции на обеспечение отдельных государственных полномочий в сфере государственной регистрации актов гражданского состояния, выделяемой органу местного самоуправления муниципального района</t>
  </si>
  <si>
    <t>СМРi(ОБ)</t>
  </si>
  <si>
    <t>расчет Май</t>
  </si>
  <si>
    <t>Общая сумма Субвенции</t>
  </si>
  <si>
    <t>по исходным данным Минюста на 2026-2028 (1,14)</t>
  </si>
  <si>
    <t>(АГЗ+ЮЗД)*1,14</t>
  </si>
  <si>
    <t>(18042,0* 1,04*1,055)*1,076</t>
  </si>
  <si>
    <t>с 22 440 (на 27 093)</t>
  </si>
  <si>
    <t>№ п/п</t>
  </si>
  <si>
    <t>МО</t>
  </si>
  <si>
    <t>новая методика
сумма на 2026</t>
  </si>
  <si>
    <t>ГО
и
МР</t>
  </si>
  <si>
    <t>г/п
и
с/п</t>
  </si>
  <si>
    <t>ВСЕГО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</si>
  <si>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</si>
  <si>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</si>
  <si>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</si>
  <si>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</si>
  <si>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</si>
  <si>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</si>
  <si>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</si>
  <si>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</si>
  <si>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</si>
  <si>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</si>
  <si>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</si>
  <si>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</si>
  <si>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</si>
  <si>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</si>
  <si>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Белоярский р-н</t>
  </si>
  <si>
    <t>15.</t>
  </si>
  <si>
    <t>Березовский р-н</t>
  </si>
  <si>
    <t>16.</t>
  </si>
  <si>
    <t>Кондинский р-н</t>
  </si>
  <si>
    <t>17.</t>
  </si>
  <si>
    <t>Нефтеюганский р-н</t>
  </si>
  <si>
    <t>18.</t>
  </si>
  <si>
    <t>Нижневартовский р-н</t>
  </si>
  <si>
    <t>19.</t>
  </si>
  <si>
    <t>Октябрьский р-н</t>
  </si>
  <si>
    <t>20.</t>
  </si>
  <si>
    <t>Советский р-н</t>
  </si>
  <si>
    <t>21.</t>
  </si>
  <si>
    <t>22.</t>
  </si>
  <si>
    <t>Ханты-Мансийский р-н</t>
  </si>
  <si>
    <t>23.</t>
  </si>
  <si>
    <t>ДАО</t>
  </si>
  <si>
    <t>ИТОГО:</t>
  </si>
  <si>
    <t>АКТЫ</t>
  </si>
  <si>
    <t>ЮЗД</t>
  </si>
  <si>
    <t>Среднее</t>
  </si>
  <si>
    <t>ПРЕДВАРИТЕЛЬНЫЙ расчет объема субвенции, предоставляемой бюджетам муниципальных образований Ханты-Мансийского автономного округа - Югры на осуществление переданных государственных
полномочий автономного округа, по расчету и предоставлению субвенций бюджетам органов местного самоуправления городских и сельских поселений</t>
  </si>
  <si>
    <r>
      <t xml:space="preserve">ФОТ с начислениями главного специалиста-эксперта (руб.)
</t>
    </r>
    <r>
      <rPr>
        <b/>
        <sz val="11"/>
        <color theme="1"/>
        <rFont val="Times New Roman"/>
        <family val="1"/>
        <charset val="204"/>
      </rPr>
      <t>ОТ(м)i</t>
    </r>
  </si>
  <si>
    <r>
      <t xml:space="preserve">Норматив затрат рабочего времени в год для обеспечения отдельных гос.полномочий ХМАО-Югры(мин.)
</t>
    </r>
    <r>
      <rPr>
        <b/>
        <sz val="11"/>
        <color theme="1"/>
        <rFont val="Times New Roman"/>
        <family val="1"/>
        <charset val="204"/>
      </rPr>
      <t>G</t>
    </r>
  </si>
  <si>
    <r>
      <t xml:space="preserve">Кол-во поселений
</t>
    </r>
    <r>
      <rPr>
        <b/>
        <sz val="11"/>
        <color theme="1"/>
        <rFont val="Times New Roman"/>
        <family val="1"/>
        <charset val="204"/>
      </rPr>
      <t>N</t>
    </r>
  </si>
  <si>
    <r>
      <t xml:space="preserve">Размер субвенции, необходимый для исполнения полномочий ХМАО-Югры (руб.)
</t>
    </r>
    <r>
      <rPr>
        <b/>
        <sz val="11"/>
        <color theme="1"/>
        <rFont val="Times New Roman"/>
        <family val="1"/>
        <charset val="204"/>
      </rPr>
      <t>С</t>
    </r>
    <r>
      <rPr>
        <b/>
        <vertAlign val="subscript"/>
        <sz val="11"/>
        <color theme="1"/>
        <rFont val="Times New Roman"/>
        <family val="1"/>
        <charset val="204"/>
      </rPr>
      <t>МРi(ОБ)</t>
    </r>
  </si>
  <si>
    <t>Индексация (+4,0%)</t>
  </si>
  <si>
    <t xml:space="preserve">Максимальный должностной оклад главного специалиста - эксперта (раздел 3 приложения № 2 к Постановлению Губернатора автономного округа от 24 июля 2023 года № 110) с учетом индексации на уровне автономного округа
12 779 </t>
  </si>
  <si>
    <r>
      <t xml:space="preserve">коэф. содержащий дополнительные выплаты </t>
    </r>
    <r>
      <rPr>
        <b/>
        <sz val="10"/>
        <color theme="1"/>
        <rFont val="Times New Roman"/>
        <family val="1"/>
        <charset val="204"/>
      </rPr>
      <t>(4,1)</t>
    </r>
  </si>
  <si>
    <r>
      <t xml:space="preserve">Расходы на оплату труда одного муниципального служащего в год 
12779*4,1*2,2(2,5)*1,302*12
</t>
    </r>
    <r>
      <rPr>
        <b/>
        <sz val="10"/>
        <color theme="1"/>
        <rFont val="Times New Roman"/>
        <family val="1"/>
        <charset val="204"/>
      </rPr>
      <t>ОТ(м)i</t>
    </r>
  </si>
  <si>
    <r>
      <t xml:space="preserve">Затраты времени в год на расчет субвенции, необходимой i-му поселению для обеспечения отдельных государственных полномочий Российской Федерации (100 минут)
</t>
    </r>
    <r>
      <rPr>
        <b/>
        <sz val="12"/>
        <color theme="1"/>
        <rFont val="Times New Roman"/>
        <family val="1"/>
        <charset val="204"/>
      </rPr>
      <t>Zр</t>
    </r>
  </si>
  <si>
    <r>
      <t xml:space="preserve">Затраты времени в год на оформление документов, необходимых для зачисления в бюджет i-го поселения средств, выделяемых для обеспечения отдельных государственных полномочий Российской Федерации (200 минут)
</t>
    </r>
    <r>
      <rPr>
        <b/>
        <sz val="12"/>
        <color theme="1"/>
        <rFont val="Times New Roman"/>
        <family val="1"/>
        <charset val="204"/>
      </rPr>
      <t xml:space="preserve">Zд </t>
    </r>
  </si>
  <si>
    <r>
      <t>Затраты времени в год на проведение анализа и составление отчетности о расходовании субвенции
 (200 минут)</t>
    </r>
    <r>
      <rPr>
        <b/>
        <sz val="12"/>
        <color theme="1"/>
        <rFont val="Times New Roman"/>
        <family val="1"/>
        <charset val="204"/>
      </rPr>
      <t xml:space="preserve">
Zо 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</si>
  <si>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норматив рабочего времени в году (часов)
</t>
    </r>
    <r>
      <rPr>
        <b/>
        <sz val="12"/>
        <color theme="1"/>
        <rFont val="Times New Roman"/>
        <family val="1"/>
        <charset val="204"/>
      </rPr>
      <t>Тнорм</t>
    </r>
  </si>
  <si>
    <t>G = (Zp+Zд+Zo)/60мин/Тнорм</t>
  </si>
  <si>
    <t>4 %,</t>
  </si>
  <si>
    <t>ОБЩАЯ сумма 
на 2026 год
с индексацией 4 %
с 01.01.2026</t>
  </si>
  <si>
    <t>Индексация 7,6% (+3,6%)
с
01.01.2026</t>
  </si>
  <si>
    <t>ОБЩАЯ сумма 
на 2026 год
с индексацией 7,6%
с 01.01.2026</t>
  </si>
  <si>
    <t>Итого:</t>
  </si>
  <si>
    <r>
      <t>Наименование муниципального образования</t>
    </r>
    <r>
      <rPr>
        <b/>
        <sz val="20"/>
        <rFont val="Times New Roman"/>
        <family val="1"/>
        <charset val="204"/>
      </rPr>
      <t>*</t>
    </r>
  </si>
  <si>
    <t>Кол-во населения до 500  чел</t>
  </si>
  <si>
    <r>
      <t>Население по субьекту</t>
    </r>
    <r>
      <rPr>
        <b/>
        <sz val="11"/>
        <rFont val="Times New Roman"/>
        <family val="1"/>
        <charset val="204"/>
      </rPr>
      <t xml:space="preserve"> на 1 января 2025 года</t>
    </r>
  </si>
  <si>
    <r>
      <rPr>
        <b/>
        <sz val="14"/>
        <rFont val="Times New Roman"/>
        <family val="1"/>
        <charset val="204"/>
      </rPr>
      <t>И i</t>
    </r>
    <r>
      <rPr>
        <sz val="11"/>
        <rFont val="Times New Roman"/>
        <family val="1"/>
        <charset val="204"/>
      </rPr>
      <t xml:space="preserve">
Удельный вес населения, проживающего в населенных пунктах с чсиленностью населения до 500 человек, в общей численности постоянного населения субьекта
(C82/D82)</t>
    </r>
  </si>
  <si>
    <t>Общая численность постоянного населения в среднем по субьектам
(D89/85(кол-во субьектов))</t>
  </si>
  <si>
    <r>
      <rPr>
        <b/>
        <sz val="14"/>
        <rFont val="Times New Roman"/>
        <family val="1"/>
        <charset val="204"/>
      </rPr>
      <t>И</t>
    </r>
    <r>
      <rPr>
        <sz val="11"/>
        <rFont val="Times New Roman"/>
        <family val="1"/>
        <charset val="204"/>
      </rPr>
      <t xml:space="preserve">
Удельный вес населения, проживающего в населенных пунктах 
 с численностью до 500 человек, в общей численности постоянного населения в среднем по субьектам РФ
(C82/F82)</t>
    </r>
  </si>
  <si>
    <t xml:space="preserve">
Коэф расселения
(E+1)/(G+1)</t>
  </si>
  <si>
    <t xml:space="preserve">г.о. Когалым, в том числе: </t>
  </si>
  <si>
    <t>п. Ортъягун</t>
  </si>
  <si>
    <t>г.о. Мегион, в том числе:</t>
  </si>
  <si>
    <t>п. Высокий</t>
  </si>
  <si>
    <t>г.о. Нефтеюганск</t>
  </si>
  <si>
    <t>г.о. Нижневартовск</t>
  </si>
  <si>
    <t>г.о. Нягань</t>
  </si>
  <si>
    <t>г.о. Покачи</t>
  </si>
  <si>
    <t>г.о. Пыть-Ях</t>
  </si>
  <si>
    <t>г.о. Радужный</t>
  </si>
  <si>
    <t>г.о. Сургут</t>
  </si>
  <si>
    <t>г.о. Урай</t>
  </si>
  <si>
    <t>г.о. Ханты-Мансийск</t>
  </si>
  <si>
    <t>г.о. Югорск</t>
  </si>
  <si>
    <t>м.о. Белоярский</t>
  </si>
  <si>
    <t>м.о. Полноват, в том числе:</t>
  </si>
  <si>
    <t>п. Полноват</t>
  </si>
  <si>
    <t>с .Ванзеват</t>
  </si>
  <si>
    <t>с. Тугияны</t>
  </si>
  <si>
    <t>д. Пашторы</t>
  </si>
  <si>
    <t>м.о. Сорум</t>
  </si>
  <si>
    <t>м.о. Сосновка</t>
  </si>
  <si>
    <t>м.о. Верхнеказымский</t>
  </si>
  <si>
    <t>м.о. Казым. В том числе:</t>
  </si>
  <si>
    <t>п. Казым</t>
  </si>
  <si>
    <t>д. Нумто</t>
  </si>
  <si>
    <t>д. Юильск</t>
  </si>
  <si>
    <t>м.о. Лыхма</t>
  </si>
  <si>
    <t>м.о. Игрим, в том числе:</t>
  </si>
  <si>
    <t xml:space="preserve">п. Игрим </t>
  </si>
  <si>
    <t>п.Ванзетур</t>
  </si>
  <si>
    <t>д. Анеева</t>
  </si>
  <si>
    <t>м.о. Приполярный</t>
  </si>
  <si>
    <t>м.о. Саранпауль, в том чтсле:</t>
  </si>
  <si>
    <t>п. Саранпауль</t>
  </si>
  <si>
    <t>п.Сосьва</t>
  </si>
  <si>
    <t>с. Ломбовож</t>
  </si>
  <si>
    <t>д. Верхненильдина</t>
  </si>
  <si>
    <t>д. Кимкьясуй</t>
  </si>
  <si>
    <t>д. Сартынья</t>
  </si>
  <si>
    <t>д. Щекурья</t>
  </si>
  <si>
    <t>д. Ясунт</t>
  </si>
  <si>
    <t>д. Хурумпауль</t>
  </si>
  <si>
    <t>м.о. Светлый</t>
  </si>
  <si>
    <t>м.о. Хулимсунт, в том числе:</t>
  </si>
  <si>
    <t>п. Хулимсунт</t>
  </si>
  <si>
    <t>с. Няксимволь</t>
  </si>
  <si>
    <t>д. Нерохи</t>
  </si>
  <si>
    <t>д. Усть-Манья</t>
  </si>
  <si>
    <t>м.о. Березово, в том числе:</t>
  </si>
  <si>
    <t>п. Березово</t>
  </si>
  <si>
    <t>п.Устрем</t>
  </si>
  <si>
    <t>д. Деминская</t>
  </si>
  <si>
    <t>д. Пугоры</t>
  </si>
  <si>
    <t>д. Шайтанка</t>
  </si>
  <si>
    <t>с. Теги</t>
  </si>
  <si>
    <t>м.о. Болчары, в том числе:</t>
  </si>
  <si>
    <t xml:space="preserve">п. Болчары </t>
  </si>
  <si>
    <t>д. Кама, с. Алтай</t>
  </si>
  <si>
    <t>с. Алтай</t>
  </si>
  <si>
    <t>м.о. Кондинское, в том числе:</t>
  </si>
  <si>
    <t>п. Кондинское</t>
  </si>
  <si>
    <t>д.Ильичевка</t>
  </si>
  <si>
    <t>д. Никулина</t>
  </si>
  <si>
    <t>д. Старый Катыш</t>
  </si>
  <si>
    <t>м.о. Куминский</t>
  </si>
  <si>
    <t>м.о. Леуши, в том числе:</t>
  </si>
  <si>
    <t xml:space="preserve">п. Леуши </t>
  </si>
  <si>
    <t>п. Дальний</t>
  </si>
  <si>
    <t>п. Лиственичный</t>
  </si>
  <si>
    <t>п. Ягодный</t>
  </si>
  <si>
    <t>м.о. Луговой</t>
  </si>
  <si>
    <t>м.о. Мортка, в том числе:</t>
  </si>
  <si>
    <t xml:space="preserve">п. Мортка </t>
  </si>
  <si>
    <t>д. Юмас</t>
  </si>
  <si>
    <t>с.Ямки</t>
  </si>
  <si>
    <t>д. Сотник</t>
  </si>
  <si>
    <t>м.о. Мулымья, в том числе:</t>
  </si>
  <si>
    <t>п. Мулымья</t>
  </si>
  <si>
    <t>с. Чантырья</t>
  </si>
  <si>
    <t>п. Назарово</t>
  </si>
  <si>
    <t>с. Шаим</t>
  </si>
  <si>
    <t>п. Супра</t>
  </si>
  <si>
    <t>д. Ушья</t>
  </si>
  <si>
    <t>м.о. Половинка</t>
  </si>
  <si>
    <t>м.о. Шугур, в том числе:</t>
  </si>
  <si>
    <t>п. Шугур</t>
  </si>
  <si>
    <t>с.Карым</t>
  </si>
  <si>
    <t>м.о. Междуреченский</t>
  </si>
  <si>
    <t>м.о. Куть-Ях</t>
  </si>
  <si>
    <t>м.о. Пойковский</t>
  </si>
  <si>
    <t>м.о. Салым, в том числе:</t>
  </si>
  <si>
    <t xml:space="preserve">п. Салым </t>
  </si>
  <si>
    <t>п. Сивыс-Ях</t>
  </si>
  <si>
    <t>м.о. Усть-Юган, в том числе:</t>
  </si>
  <si>
    <t>п. Усть-Юган</t>
  </si>
  <si>
    <t>п. Юганская Обь</t>
  </si>
  <si>
    <t>м.о. Сентябрьский</t>
  </si>
  <si>
    <t>м.о. Каркатеевы</t>
  </si>
  <si>
    <t>м.о. Лемпино</t>
  </si>
  <si>
    <t>м.о. Сингапай, в том числе:</t>
  </si>
  <si>
    <t xml:space="preserve">п. Сингапай </t>
  </si>
  <si>
    <t>с. Чеускино</t>
  </si>
  <si>
    <t>м.о. Аган</t>
  </si>
  <si>
    <t>м.о. Вата</t>
  </si>
  <si>
    <t>м.о. Ваховск, в том числе:</t>
  </si>
  <si>
    <t xml:space="preserve">п. Ваховск </t>
  </si>
  <si>
    <t>с. Охтеурье</t>
  </si>
  <si>
    <t>м.о. Зайцева речка, в том числе:</t>
  </si>
  <si>
    <t>п. Зайцева речка</t>
  </si>
  <si>
    <t>с. Былино</t>
  </si>
  <si>
    <t>д. Вампугол</t>
  </si>
  <si>
    <t>м.о. Ларьяк, в том числе:</t>
  </si>
  <si>
    <t xml:space="preserve">п. Ларьяк </t>
  </si>
  <si>
    <t>с. Корлики</t>
  </si>
  <si>
    <t>д. Большой Ларьяк</t>
  </si>
  <si>
    <t>д. Сосновый бор</t>
  </si>
  <si>
    <t xml:space="preserve"> д. Чехломей</t>
  </si>
  <si>
    <t>м.о. Новоаганск, в том числе:</t>
  </si>
  <si>
    <t xml:space="preserve">п. Новоаганск </t>
  </si>
  <si>
    <t>с. Варьеган</t>
  </si>
  <si>
    <t>м.о. Покур</t>
  </si>
  <si>
    <t>м.о. Излучинск, в том числе:</t>
  </si>
  <si>
    <t xml:space="preserve">п. Излучинск </t>
  </si>
  <si>
    <t>с. Большетархово</t>
  </si>
  <si>
    <t>д. Пасол</t>
  </si>
  <si>
    <t>д. Соснина</t>
  </si>
  <si>
    <t>м.о. Карымкары, в том числе:</t>
  </si>
  <si>
    <t>п. Карымкары</t>
  </si>
  <si>
    <t>п.Горноречинск</t>
  </si>
  <si>
    <t>м.о. Малый Атлым, в том числе:</t>
  </si>
  <si>
    <t xml:space="preserve">п. Малый Атлым </t>
  </si>
  <si>
    <t>п. Большие Леуши</t>
  </si>
  <si>
    <t>п. Заречный</t>
  </si>
  <si>
    <t>п. Комсомольский</t>
  </si>
  <si>
    <t>с. Б. Атлым</t>
  </si>
  <si>
    <t>м.о. Перегребное, в том числе:</t>
  </si>
  <si>
    <t>п. Перегребное</t>
  </si>
  <si>
    <t>д. Чемаши</t>
  </si>
  <si>
    <t>д. Нижние Нарыкары</t>
  </si>
  <si>
    <t>д. Верхние Нарыкары</t>
  </si>
  <si>
    <t>м.о. Приобье</t>
  </si>
  <si>
    <t>м.о.Сергино</t>
  </si>
  <si>
    <t>м.о.Талинка</t>
  </si>
  <si>
    <t>м.о.Уньюган</t>
  </si>
  <si>
    <t>м.о.Шеркалы</t>
  </si>
  <si>
    <t>м.о. Октябрьское, в том числе:</t>
  </si>
  <si>
    <t>п. Октябрьское</t>
  </si>
  <si>
    <t>с. Б. Камень</t>
  </si>
  <si>
    <t xml:space="preserve"> п. Кормужиханка</t>
  </si>
  <si>
    <t>м.о. Каменное, в том числе:</t>
  </si>
  <si>
    <t xml:space="preserve">п. Каменное </t>
  </si>
  <si>
    <t>с. Пальяново</t>
  </si>
  <si>
    <t>м.о. Андра</t>
  </si>
  <si>
    <t>м.о. Агириш</t>
  </si>
  <si>
    <t>м.о. Алябьевский</t>
  </si>
  <si>
    <t>м.о. Зеленоборск</t>
  </si>
  <si>
    <t>м.о. Коммунистический</t>
  </si>
  <si>
    <t>м.о. Малиновский, в том числе:</t>
  </si>
  <si>
    <t>п. Малиновский</t>
  </si>
  <si>
    <t>п. Юбилейный</t>
  </si>
  <si>
    <t>м.о. Пионерский</t>
  </si>
  <si>
    <t>м.о. Таежный</t>
  </si>
  <si>
    <t>м.о. Советский</t>
  </si>
  <si>
    <t>м.о. Барсово</t>
  </si>
  <si>
    <t>м.о. Белый Яр</t>
  </si>
  <si>
    <t>м.о. Лямина, в том числе:</t>
  </si>
  <si>
    <t>п. Лямина (п. Песчанный)</t>
  </si>
  <si>
    <t>п. Песчанный</t>
  </si>
  <si>
    <t>м.о. Лянтор</t>
  </si>
  <si>
    <t>м.о. Нижнесортымский</t>
  </si>
  <si>
    <t>м.о. Русскинская</t>
  </si>
  <si>
    <t>м.о. Солнечный, в том числе:</t>
  </si>
  <si>
    <t xml:space="preserve">п. Солнечный </t>
  </si>
  <si>
    <t>д. Сайгатино</t>
  </si>
  <si>
    <t>м.о. Сытомино, в том числе:</t>
  </si>
  <si>
    <t xml:space="preserve">п. Сытомино </t>
  </si>
  <si>
    <t>п. Горный</t>
  </si>
  <si>
    <t>м.о. Угут, в том числе:</t>
  </si>
  <si>
    <t xml:space="preserve">п. Угут </t>
  </si>
  <si>
    <t>п.Малоюганский</t>
  </si>
  <si>
    <t>д. Каюкова</t>
  </si>
  <si>
    <t xml:space="preserve"> д. Таурова</t>
  </si>
  <si>
    <t>д. Тайлакова</t>
  </si>
  <si>
    <t>м.о. Ульт-Ягун, в том числе:</t>
  </si>
  <si>
    <t xml:space="preserve">п. Ульт-Ягун </t>
  </si>
  <si>
    <t>п. Тром-Аган</t>
  </si>
  <si>
    <t>м.о. Федоровский</t>
  </si>
  <si>
    <t xml:space="preserve">м.о. Локосово, в том числе: </t>
  </si>
  <si>
    <t xml:space="preserve">п. Локосово </t>
  </si>
  <si>
    <t>д. Верхне-Мысовая</t>
  </si>
  <si>
    <t xml:space="preserve">м.о. Тундрино, в том числе: </t>
  </si>
  <si>
    <t xml:space="preserve">п. Тундрино </t>
  </si>
  <si>
    <t>п. Высокий Мыс</t>
  </si>
  <si>
    <t>Межселенческое население</t>
  </si>
  <si>
    <t>м.о. Выкатной, в том числе:</t>
  </si>
  <si>
    <t>п. Выкатной</t>
  </si>
  <si>
    <t>с. Тюли</t>
  </si>
  <si>
    <t xml:space="preserve">м.о. Горноправдинск, в том числе: </t>
  </si>
  <si>
    <t xml:space="preserve">п. Горноправдинск </t>
  </si>
  <si>
    <t>п. Бобровский</t>
  </si>
  <si>
    <t>д. Лугофилинская</t>
  </si>
  <si>
    <t>м.о. Красноленинский, в том числе:</t>
  </si>
  <si>
    <t xml:space="preserve">п. Красноленинский </t>
  </si>
  <si>
    <t>п. Урманный</t>
  </si>
  <si>
    <t>м.о. Луговской, в том числе:</t>
  </si>
  <si>
    <t>п. Луговской</t>
  </si>
  <si>
    <t>д. Белогорье</t>
  </si>
  <si>
    <t>п. Кирпичный</t>
  </si>
  <si>
    <t>с. Троица</t>
  </si>
  <si>
    <t>д. Ягурьях</t>
  </si>
  <si>
    <t>м.о. Нялинское, в том числе:</t>
  </si>
  <si>
    <t>с. Нялинское</t>
  </si>
  <si>
    <t>д. Нялинское</t>
  </si>
  <si>
    <t>п. Пырьях</t>
  </si>
  <si>
    <t>м.о. Селиярово</t>
  </si>
  <si>
    <t>м.о. Сибирский, в том числе:</t>
  </si>
  <si>
    <t>п. Сибирский</t>
  </si>
  <si>
    <t>с. Реполово</t>
  </si>
  <si>
    <t>с. Батово</t>
  </si>
  <si>
    <t>м.о. Шапша, в том числе:</t>
  </si>
  <si>
    <t>п. Шапша</t>
  </si>
  <si>
    <t>д. Ярки</t>
  </si>
  <si>
    <t>с. Зенково</t>
  </si>
  <si>
    <t>м.о Кышик</t>
  </si>
  <si>
    <t>м.о. Согом</t>
  </si>
  <si>
    <t>м.о. Кедровый, в том числе:</t>
  </si>
  <si>
    <t>п. Кедровый</t>
  </si>
  <si>
    <t>с. Елизарово</t>
  </si>
  <si>
    <t xml:space="preserve">м.о Цингалы, в том числе: </t>
  </si>
  <si>
    <t>п. Цингалы</t>
  </si>
  <si>
    <t>д. Чембакина</t>
  </si>
  <si>
    <t>* Населенные пункты входящие в состав муниципального образования заполняются в соответствии  с Законом ХМАО-Югры № 63-оз от 25.11.2004 "О статусе и границах муниципальных образований Ханты-Мансийского автономного округа - Югры"</t>
  </si>
  <si>
    <t>Коэффициент расселения (К расс) определяется по формуле:</t>
  </si>
  <si>
    <r>
      <t>К</t>
    </r>
    <r>
      <rPr>
        <vertAlign val="subscript"/>
        <sz val="14"/>
        <color theme="1"/>
        <rFont val="Times New Roman"/>
        <family val="1"/>
        <charset val="204"/>
      </rPr>
      <t xml:space="preserve">расс </t>
    </r>
    <r>
      <rPr>
        <vertAlign val="subscript"/>
        <sz val="28"/>
        <color theme="1"/>
        <rFont val="Times New Roman"/>
        <family val="1"/>
        <charset val="204"/>
      </rPr>
      <t>=</t>
    </r>
  </si>
  <si>
    <r>
      <t>И</t>
    </r>
    <r>
      <rPr>
        <vertAlign val="subscript"/>
        <sz val="20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 xml:space="preserve"> +1</t>
    </r>
  </si>
  <si>
    <t>И +1</t>
  </si>
  <si>
    <t>где:</t>
  </si>
  <si>
    <r>
      <t xml:space="preserve">Иi - </t>
    </r>
    <r>
      <rPr>
        <sz val="11"/>
        <rFont val="Times New Roman"/>
        <family val="1"/>
        <charset val="204"/>
      </rPr>
      <t>удельный вес населения, проживающего в населенных пунктах с численностью населения до 500 человек, в общей численности постоянного населения</t>
    </r>
  </si>
  <si>
    <t xml:space="preserve"> субьекта Российсой Федерации на конец послнднего отчетного периода;</t>
  </si>
  <si>
    <r>
      <t xml:space="preserve">И - </t>
    </r>
    <r>
      <rPr>
        <sz val="11"/>
        <rFont val="Times New Roman"/>
        <family val="1"/>
        <charset val="204"/>
      </rPr>
      <t>удельный вес населения, проживающего в населенных пунктах с численностью населения до 500 человек, в общей численности постоянного населения</t>
    </r>
  </si>
  <si>
    <t>в среднем по субъектам Российской Федерации на конец последнего отчетного года.</t>
  </si>
  <si>
    <t>Расчет произведен на основании данных из статистического бюллетеня Федеральной Службы государственной статистики "Численность населения Российской Федерации по муниципальным образованиям на 1января 2025 года".</t>
  </si>
  <si>
    <t>ИТОГО</t>
  </si>
  <si>
    <t>Сургутский р-н</t>
  </si>
  <si>
    <t>Общая с МО</t>
  </si>
  <si>
    <t>государственные полномочия АО</t>
  </si>
  <si>
    <t>государственные полномочия АО (округлено)</t>
  </si>
  <si>
    <t>без ДАО</t>
  </si>
  <si>
    <t>ИТОГ</t>
  </si>
  <si>
    <r>
      <t xml:space="preserve">Предварительное распределение бюджетных ассигнований (01.10.2025)
в разрезе муниципальных образований автономного округа 
единой субвенции из  </t>
    </r>
    <r>
      <rPr>
        <b/>
        <sz val="12"/>
        <color theme="1"/>
        <rFont val="Times New Roman"/>
        <family val="1"/>
        <charset val="204"/>
      </rPr>
      <t xml:space="preserve">бюджета автономного округа </t>
    </r>
    <r>
      <rPr>
        <sz val="12"/>
        <color theme="1"/>
        <rFont val="Times New Roman"/>
        <family val="1"/>
        <charset val="204"/>
      </rPr>
      <t xml:space="preserve">
на осуществление государственных полномочий 
на государственную регистрацию актов гражданского состояния 
 </t>
    </r>
    <r>
      <rPr>
        <b/>
        <sz val="12"/>
        <color theme="1"/>
        <rFont val="Times New Roman"/>
        <family val="1"/>
        <charset val="204"/>
      </rPr>
      <t>2026 год</t>
    </r>
  </si>
  <si>
    <r>
      <t xml:space="preserve">Предварительное распределение бюджетных ассигнований (01.10.2025)
в разрезе муниципальных образований автономного округа единой субвенции  
</t>
    </r>
    <r>
      <rPr>
        <b/>
        <sz val="12"/>
        <color theme="1"/>
        <rFont val="Times New Roman"/>
        <family val="1"/>
        <charset val="204"/>
      </rPr>
      <t>ВСЕГО</t>
    </r>
    <r>
      <rPr>
        <sz val="12"/>
        <color theme="1"/>
        <rFont val="Times New Roman"/>
        <family val="1"/>
        <charset val="204"/>
      </rPr>
      <t xml:space="preserve">
на осуществление государственных полномочий 
на государственную регистрацию актов гражданского состояния 
 </t>
    </r>
    <r>
      <rPr>
        <b/>
        <sz val="12"/>
        <color theme="1"/>
        <rFont val="Times New Roman"/>
        <family val="1"/>
        <charset val="204"/>
      </rPr>
      <t>на  2026 год</t>
    </r>
  </si>
  <si>
    <t>2026
(округлено)</t>
  </si>
  <si>
    <r>
      <t>Предварительное распределение бюджетных ассигнований (01.10.2025)
в разрезе муниципальных образований автономного округа 
единой субвенции из</t>
    </r>
    <r>
      <rPr>
        <b/>
        <sz val="12"/>
        <color theme="1"/>
        <rFont val="Times New Roman"/>
        <family val="1"/>
        <charset val="204"/>
      </rPr>
      <t xml:space="preserve"> федерального бюджета </t>
    </r>
    <r>
      <rPr>
        <sz val="12"/>
        <color theme="1"/>
        <rFont val="Times New Roman"/>
        <family val="1"/>
        <charset val="204"/>
      </rPr>
      <t xml:space="preserve">
на осуществление государственных полномочий 
на государственную регистрацию актов гражданского состояния 
 </t>
    </r>
    <r>
      <rPr>
        <b/>
        <sz val="12"/>
        <color theme="1"/>
        <rFont val="Times New Roman"/>
        <family val="1"/>
        <charset val="204"/>
      </rPr>
      <t>2026 год</t>
    </r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</si>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</sst>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"/>
    <numFmt numFmtId="166" formatCode="0.0000"/>
    <numFmt numFmtId="167" formatCode="0.000"/>
    <numFmt numFmtId="168" formatCode="#,##0.0000"/>
    <numFmt numFmtId="169" formatCode="[=0]&quot;-     &quot;;0&quot;     &quot;"/>
    <numFmt numFmtId="170" formatCode="0.00000000000"/>
  </numFmts>
  <fonts count="32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1"/>
      <color indexed="2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vertAlign val="subscript"/>
      <sz val="11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28"/>
      <color theme="1"/>
      <name val="Times New Roman"/>
      <family val="1"/>
      <charset val="204"/>
    </font>
    <font>
      <vertAlign val="subscript"/>
      <sz val="20"/>
      <color theme="1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indexed="5"/>
        <bgColor indexed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23" fillId="0" borderId="0"/>
  </cellStyleXfs>
  <cellXfs count="45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164" fontId="1" fillId="0" borderId="9" xfId="0" applyNumberFormat="1" applyFont="1" applyBorder="1"/>
    <xf numFmtId="0" fontId="1" fillId="0" borderId="8" xfId="0" applyFont="1" applyBorder="1"/>
    <xf numFmtId="0" fontId="3" fillId="0" borderId="0" xfId="0" applyFont="1"/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center" vertical="center" wrapText="1"/>
    </xf>
    <xf numFmtId="164" fontId="3" fillId="6" borderId="5" xfId="0" applyNumberFormat="1" applyFont="1" applyFill="1" applyBorder="1" applyAlignment="1">
      <alignment horizontal="center" vertical="center" wrapText="1"/>
    </xf>
    <xf numFmtId="164" fontId="3" fillId="6" borderId="15" xfId="0" applyNumberFormat="1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center" vertical="center" wrapText="1"/>
    </xf>
    <xf numFmtId="165" fontId="9" fillId="6" borderId="19" xfId="0" applyNumberFormat="1" applyFont="1" applyFill="1" applyBorder="1" applyAlignment="1">
      <alignment horizontal="center" vertical="center" wrapText="1"/>
    </xf>
    <xf numFmtId="3" fontId="9" fillId="6" borderId="12" xfId="0" applyNumberFormat="1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164" fontId="9" fillId="6" borderId="12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24" xfId="0" applyFont="1" applyBorder="1"/>
    <xf numFmtId="4" fontId="1" fillId="2" borderId="25" xfId="0" applyNumberFormat="1" applyFont="1" applyFill="1" applyBorder="1"/>
    <xf numFmtId="4" fontId="1" fillId="2" borderId="9" xfId="0" applyNumberFormat="1" applyFont="1" applyFill="1" applyBorder="1"/>
    <xf numFmtId="2" fontId="1" fillId="0" borderId="9" xfId="0" applyNumberFormat="1" applyFont="1" applyBorder="1"/>
    <xf numFmtId="0" fontId="1" fillId="0" borderId="9" xfId="0" applyFont="1" applyBorder="1"/>
    <xf numFmtId="166" fontId="1" fillId="5" borderId="9" xfId="0" applyNumberFormat="1" applyFont="1" applyFill="1" applyBorder="1"/>
    <xf numFmtId="3" fontId="1" fillId="0" borderId="9" xfId="0" applyNumberFormat="1" applyFont="1" applyBorder="1"/>
    <xf numFmtId="164" fontId="1" fillId="2" borderId="9" xfId="0" applyNumberFormat="1" applyFont="1" applyFill="1" applyBorder="1"/>
    <xf numFmtId="164" fontId="1" fillId="3" borderId="9" xfId="0" applyNumberFormat="1" applyFont="1" applyFill="1" applyBorder="1"/>
    <xf numFmtId="165" fontId="1" fillId="0" borderId="9" xfId="0" applyNumberFormat="1" applyFont="1" applyBorder="1"/>
    <xf numFmtId="164" fontId="1" fillId="6" borderId="9" xfId="0" applyNumberFormat="1" applyFont="1" applyFill="1" applyBorder="1"/>
    <xf numFmtId="164" fontId="10" fillId="0" borderId="26" xfId="0" applyNumberFormat="1" applyFont="1" applyBorder="1"/>
    <xf numFmtId="4" fontId="1" fillId="0" borderId="9" xfId="0" applyNumberFormat="1" applyFont="1" applyBorder="1"/>
    <xf numFmtId="0" fontId="1" fillId="0" borderId="27" xfId="0" applyFont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2" fontId="1" fillId="0" borderId="29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4" fontId="1" fillId="0" borderId="29" xfId="0" applyNumberFormat="1" applyFont="1" applyBorder="1"/>
    <xf numFmtId="0" fontId="10" fillId="7" borderId="0" xfId="0" applyFont="1" applyFill="1"/>
    <xf numFmtId="0" fontId="10" fillId="7" borderId="23" xfId="0" applyFont="1" applyFill="1" applyBorder="1"/>
    <xf numFmtId="0" fontId="10" fillId="7" borderId="27" xfId="0" applyFont="1" applyFill="1" applyBorder="1"/>
    <xf numFmtId="4" fontId="10" fillId="7" borderId="28" xfId="0" applyNumberFormat="1" applyFont="1" applyFill="1" applyBorder="1"/>
    <xf numFmtId="4" fontId="10" fillId="7" borderId="29" xfId="0" applyNumberFormat="1" applyFont="1" applyFill="1" applyBorder="1"/>
    <xf numFmtId="4" fontId="10" fillId="7" borderId="9" xfId="0" applyNumberFormat="1" applyFont="1" applyFill="1" applyBorder="1"/>
    <xf numFmtId="2" fontId="10" fillId="7" borderId="29" xfId="0" applyNumberFormat="1" applyFont="1" applyFill="1" applyBorder="1"/>
    <xf numFmtId="0" fontId="10" fillId="7" borderId="29" xfId="0" applyFont="1" applyFill="1" applyBorder="1"/>
    <xf numFmtId="2" fontId="10" fillId="7" borderId="9" xfId="0" applyNumberFormat="1" applyFont="1" applyFill="1" applyBorder="1"/>
    <xf numFmtId="166" fontId="10" fillId="7" borderId="9" xfId="0" applyNumberFormat="1" applyFont="1" applyFill="1" applyBorder="1"/>
    <xf numFmtId="0" fontId="10" fillId="7" borderId="9" xfId="0" applyFont="1" applyFill="1" applyBorder="1"/>
    <xf numFmtId="164" fontId="10" fillId="7" borderId="9" xfId="0" applyNumberFormat="1" applyFont="1" applyFill="1" applyBorder="1"/>
    <xf numFmtId="165" fontId="10" fillId="7" borderId="9" xfId="0" applyNumberFormat="1" applyFont="1" applyFill="1" applyBorder="1"/>
    <xf numFmtId="164" fontId="1" fillId="7" borderId="9" xfId="0" applyNumberFormat="1" applyFont="1" applyFill="1" applyBorder="1"/>
    <xf numFmtId="164" fontId="10" fillId="7" borderId="26" xfId="0" applyNumberFormat="1" applyFont="1" applyFill="1" applyBorder="1"/>
    <xf numFmtId="0" fontId="1" fillId="4" borderId="27" xfId="0" applyFont="1" applyFill="1" applyBorder="1"/>
    <xf numFmtId="164" fontId="10" fillId="4" borderId="26" xfId="0" applyNumberFormat="1" applyFont="1" applyFill="1" applyBorder="1"/>
    <xf numFmtId="164" fontId="1" fillId="4" borderId="29" xfId="0" applyNumberFormat="1" applyFont="1" applyFill="1" applyBorder="1"/>
    <xf numFmtId="4" fontId="1" fillId="4" borderId="29" xfId="0" applyNumberFormat="1" applyFont="1" applyFill="1" applyBorder="1"/>
    <xf numFmtId="4" fontId="1" fillId="4" borderId="9" xfId="0" applyNumberFormat="1" applyFont="1" applyFill="1" applyBorder="1"/>
    <xf numFmtId="0" fontId="10" fillId="3" borderId="0" xfId="0" applyFont="1" applyFill="1"/>
    <xf numFmtId="0" fontId="10" fillId="3" borderId="23" xfId="0" applyFont="1" applyFill="1" applyBorder="1"/>
    <xf numFmtId="4" fontId="10" fillId="3" borderId="29" xfId="0" applyNumberFormat="1" applyFont="1" applyFill="1" applyBorder="1"/>
    <xf numFmtId="0" fontId="10" fillId="3" borderId="27" xfId="0" applyFont="1" applyFill="1" applyBorder="1"/>
    <xf numFmtId="4" fontId="10" fillId="3" borderId="28" xfId="0" applyNumberFormat="1" applyFont="1" applyFill="1" applyBorder="1"/>
    <xf numFmtId="4" fontId="10" fillId="3" borderId="9" xfId="0" applyNumberFormat="1" applyFont="1" applyFill="1" applyBorder="1"/>
    <xf numFmtId="2" fontId="10" fillId="3" borderId="29" xfId="0" applyNumberFormat="1" applyFont="1" applyFill="1" applyBorder="1"/>
    <xf numFmtId="0" fontId="10" fillId="3" borderId="29" xfId="0" applyFont="1" applyFill="1" applyBorder="1"/>
    <xf numFmtId="2" fontId="10" fillId="3" borderId="9" xfId="0" applyNumberFormat="1" applyFont="1" applyFill="1" applyBorder="1"/>
    <xf numFmtId="166" fontId="10" fillId="3" borderId="9" xfId="0" applyNumberFormat="1" applyFont="1" applyFill="1" applyBorder="1"/>
    <xf numFmtId="0" fontId="10" fillId="3" borderId="9" xfId="0" applyFont="1" applyFill="1" applyBorder="1"/>
    <xf numFmtId="164" fontId="10" fillId="3" borderId="9" xfId="0" applyNumberFormat="1" applyFont="1" applyFill="1" applyBorder="1"/>
    <xf numFmtId="165" fontId="10" fillId="3" borderId="9" xfId="0" applyNumberFormat="1" applyFont="1" applyFill="1" applyBorder="1"/>
    <xf numFmtId="164" fontId="10" fillId="3" borderId="26" xfId="0" applyNumberFormat="1" applyFont="1" applyFill="1" applyBorder="1"/>
    <xf numFmtId="4" fontId="11" fillId="2" borderId="29" xfId="0" applyNumberFormat="1" applyFont="1" applyFill="1" applyBorder="1"/>
    <xf numFmtId="0" fontId="1" fillId="0" borderId="30" xfId="0" applyFont="1" applyBorder="1"/>
    <xf numFmtId="4" fontId="1" fillId="2" borderId="31" xfId="0" applyNumberFormat="1" applyFont="1" applyFill="1" applyBorder="1"/>
    <xf numFmtId="4" fontId="1" fillId="2" borderId="16" xfId="0" applyNumberFormat="1" applyFont="1" applyFill="1" applyBorder="1"/>
    <xf numFmtId="2" fontId="1" fillId="0" borderId="16" xfId="0" applyNumberFormat="1" applyFont="1" applyBorder="1"/>
    <xf numFmtId="0" fontId="1" fillId="0" borderId="32" xfId="0" applyFont="1" applyBorder="1"/>
    <xf numFmtId="164" fontId="1" fillId="0" borderId="32" xfId="0" applyNumberFormat="1" applyFont="1" applyBorder="1"/>
    <xf numFmtId="4" fontId="1" fillId="0" borderId="33" xfId="0" applyNumberFormat="1" applyFont="1" applyBorder="1"/>
    <xf numFmtId="0" fontId="1" fillId="0" borderId="34" xfId="0" applyFont="1" applyBorder="1"/>
    <xf numFmtId="0" fontId="10" fillId="0" borderId="11" xfId="0" applyFont="1" applyBorder="1"/>
    <xf numFmtId="4" fontId="10" fillId="2" borderId="12" xfId="0" applyNumberFormat="1" applyFont="1" applyFill="1" applyBorder="1"/>
    <xf numFmtId="2" fontId="10" fillId="0" borderId="12" xfId="0" applyNumberFormat="1" applyFont="1" applyBorder="1"/>
    <xf numFmtId="0" fontId="10" fillId="0" borderId="12" xfId="0" applyFont="1" applyBorder="1"/>
    <xf numFmtId="164" fontId="10" fillId="5" borderId="12" xfId="0" applyNumberFormat="1" applyFont="1" applyFill="1" applyBorder="1"/>
    <xf numFmtId="164" fontId="10" fillId="0" borderId="21" xfId="0" applyNumberFormat="1" applyFont="1" applyBorder="1"/>
    <xf numFmtId="164" fontId="10" fillId="2" borderId="12" xfId="0" applyNumberFormat="1" applyFont="1" applyFill="1" applyBorder="1"/>
    <xf numFmtId="164" fontId="10" fillId="3" borderId="12" xfId="0" applyNumberFormat="1" applyFont="1" applyFill="1" applyBorder="1"/>
    <xf numFmtId="165" fontId="10" fillId="2" borderId="12" xfId="0" applyNumberFormat="1" applyFont="1" applyFill="1" applyBorder="1"/>
    <xf numFmtId="164" fontId="10" fillId="0" borderId="12" xfId="0" applyNumberFormat="1" applyFont="1" applyBorder="1"/>
    <xf numFmtId="164" fontId="10" fillId="6" borderId="12" xfId="0" applyNumberFormat="1" applyFont="1" applyFill="1" applyBorder="1"/>
    <xf numFmtId="164" fontId="10" fillId="0" borderId="14" xfId="0" applyNumberFormat="1" applyFont="1" applyBorder="1"/>
    <xf numFmtId="4" fontId="10" fillId="0" borderId="18" xfId="0" applyNumberFormat="1" applyFont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2" fillId="0" borderId="29" xfId="0" applyFont="1" applyBorder="1"/>
    <xf numFmtId="4" fontId="1" fillId="0" borderId="0" xfId="0" applyNumberFormat="1" applyFont="1"/>
    <xf numFmtId="0" fontId="10" fillId="0" borderId="0" xfId="0" applyFont="1" applyAlignment="1">
      <alignment horizontal="right"/>
    </xf>
    <xf numFmtId="164" fontId="10" fillId="0" borderId="0" xfId="0" applyNumberFormat="1" applyFont="1"/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0" fontId="3" fillId="0" borderId="38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wrapText="1"/>
    </xf>
    <xf numFmtId="0" fontId="3" fillId="0" borderId="39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wrapText="1"/>
    </xf>
    <xf numFmtId="0" fontId="1" fillId="2" borderId="29" xfId="0" applyFont="1" applyFill="1" applyBorder="1"/>
    <xf numFmtId="2" fontId="1" fillId="2" borderId="29" xfId="0" applyNumberFormat="1" applyFont="1" applyFill="1" applyBorder="1"/>
    <xf numFmtId="2" fontId="1" fillId="7" borderId="29" xfId="0" applyNumberFormat="1" applyFont="1" applyFill="1" applyBorder="1"/>
    <xf numFmtId="0" fontId="11" fillId="7" borderId="29" xfId="0" applyFont="1" applyFill="1" applyBorder="1"/>
    <xf numFmtId="4" fontId="1" fillId="7" borderId="29" xfId="0" applyNumberFormat="1" applyFont="1" applyFill="1" applyBorder="1"/>
    <xf numFmtId="0" fontId="1" fillId="7" borderId="29" xfId="0" applyFont="1" applyFill="1" applyBorder="1"/>
    <xf numFmtId="2" fontId="1" fillId="3" borderId="29" xfId="0" applyNumberFormat="1" applyFont="1" applyFill="1" applyBorder="1"/>
    <xf numFmtId="0" fontId="1" fillId="3" borderId="29" xfId="0" applyFont="1" applyFill="1" applyBorder="1"/>
    <xf numFmtId="4" fontId="1" fillId="3" borderId="29" xfId="0" applyNumberFormat="1" applyFont="1" applyFill="1" applyBorder="1"/>
    <xf numFmtId="0" fontId="11" fillId="2" borderId="29" xfId="0" applyFont="1" applyFill="1" applyBorder="1"/>
    <xf numFmtId="0" fontId="10" fillId="4" borderId="29" xfId="0" applyFont="1" applyFill="1" applyBorder="1"/>
    <xf numFmtId="2" fontId="10" fillId="4" borderId="29" xfId="0" applyNumberFormat="1" applyFont="1" applyFill="1" applyBorder="1"/>
    <xf numFmtId="0" fontId="13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3" fillId="3" borderId="29" xfId="0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0" fontId="13" fillId="8" borderId="29" xfId="0" applyFont="1" applyFill="1" applyBorder="1" applyAlignment="1">
      <alignment horizontal="center" vertical="center" wrapText="1"/>
    </xf>
    <xf numFmtId="0" fontId="12" fillId="8" borderId="29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9" xfId="0" applyFont="1" applyBorder="1"/>
    <xf numFmtId="4" fontId="13" fillId="0" borderId="9" xfId="0" applyNumberFormat="1" applyFont="1" applyBorder="1"/>
    <xf numFmtId="0" fontId="13" fillId="0" borderId="9" xfId="0" applyFont="1" applyBorder="1"/>
    <xf numFmtId="3" fontId="13" fillId="0" borderId="9" xfId="0" applyNumberFormat="1" applyFont="1" applyBorder="1"/>
    <xf numFmtId="164" fontId="13" fillId="0" borderId="9" xfId="0" applyNumberFormat="1" applyFont="1" applyBorder="1"/>
    <xf numFmtId="168" fontId="13" fillId="0" borderId="9" xfId="0" applyNumberFormat="1" applyFont="1" applyBorder="1"/>
    <xf numFmtId="0" fontId="13" fillId="0" borderId="9" xfId="0" applyFont="1" applyBorder="1" applyAlignment="1">
      <alignment horizontal="center"/>
    </xf>
    <xf numFmtId="164" fontId="13" fillId="0" borderId="29" xfId="0" applyNumberFormat="1" applyFont="1" applyBorder="1"/>
    <xf numFmtId="165" fontId="13" fillId="0" borderId="29" xfId="0" applyNumberFormat="1" applyFont="1" applyBorder="1"/>
    <xf numFmtId="3" fontId="13" fillId="0" borderId="29" xfId="0" applyNumberFormat="1" applyFont="1" applyBorder="1"/>
    <xf numFmtId="168" fontId="13" fillId="0" borderId="29" xfId="0" applyNumberFormat="1" applyFont="1" applyBorder="1"/>
    <xf numFmtId="0" fontId="13" fillId="0" borderId="29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164" fontId="12" fillId="0" borderId="29" xfId="0" applyNumberFormat="1" applyFont="1" applyBorder="1"/>
    <xf numFmtId="3" fontId="13" fillId="0" borderId="0" xfId="0" applyNumberFormat="1" applyFont="1"/>
    <xf numFmtId="164" fontId="13" fillId="0" borderId="0" xfId="0" applyNumberFormat="1" applyFont="1"/>
    <xf numFmtId="0" fontId="16" fillId="0" borderId="29" xfId="0" applyFont="1" applyBorder="1" applyAlignment="1">
      <alignment horizontal="center" vertical="center" wrapText="1"/>
    </xf>
    <xf numFmtId="169" fontId="11" fillId="2" borderId="29" xfId="0" applyNumberFormat="1" applyFont="1" applyFill="1" applyBorder="1" applyAlignment="1">
      <alignment horizontal="center" vertical="center" wrapText="1"/>
    </xf>
    <xf numFmtId="169" fontId="11" fillId="0" borderId="29" xfId="0" applyNumberFormat="1" applyFont="1" applyBorder="1" applyAlignment="1">
      <alignment horizontal="center" vertical="center" wrapText="1"/>
    </xf>
    <xf numFmtId="3" fontId="17" fillId="2" borderId="29" xfId="0" applyNumberFormat="1" applyFont="1" applyFill="1" applyBorder="1" applyAlignment="1">
      <alignment horizontal="center" vertical="center"/>
    </xf>
    <xf numFmtId="168" fontId="17" fillId="2" borderId="29" xfId="0" applyNumberFormat="1" applyFont="1" applyFill="1" applyBorder="1" applyAlignment="1">
      <alignment horizontal="center" vertical="center"/>
    </xf>
    <xf numFmtId="3" fontId="17" fillId="0" borderId="29" xfId="0" applyNumberFormat="1" applyFont="1" applyBorder="1" applyAlignment="1">
      <alignment horizontal="center" vertical="center"/>
    </xf>
    <xf numFmtId="170" fontId="17" fillId="2" borderId="29" xfId="0" applyNumberFormat="1" applyFont="1" applyFill="1" applyBorder="1" applyAlignment="1">
      <alignment horizontal="center" vertical="center"/>
    </xf>
    <xf numFmtId="165" fontId="17" fillId="2" borderId="29" xfId="0" applyNumberFormat="1" applyFont="1" applyFill="1" applyBorder="1" applyAlignment="1">
      <alignment horizontal="center" vertical="center"/>
    </xf>
    <xf numFmtId="0" fontId="18" fillId="0" borderId="29" xfId="0" applyFont="1" applyBorder="1"/>
    <xf numFmtId="3" fontId="18" fillId="2" borderId="29" xfId="0" applyNumberFormat="1" applyFont="1" applyFill="1" applyBorder="1" applyAlignment="1">
      <alignment horizontal="center" vertical="center"/>
    </xf>
    <xf numFmtId="0" fontId="12" fillId="7" borderId="29" xfId="0" applyFont="1" applyFill="1" applyBorder="1"/>
    <xf numFmtId="3" fontId="17" fillId="7" borderId="29" xfId="0" applyNumberFormat="1" applyFont="1" applyFill="1" applyBorder="1" applyAlignment="1">
      <alignment horizontal="center" vertical="center"/>
    </xf>
    <xf numFmtId="168" fontId="17" fillId="7" borderId="29" xfId="0" applyNumberFormat="1" applyFont="1" applyFill="1" applyBorder="1" applyAlignment="1">
      <alignment horizontal="center" vertical="center"/>
    </xf>
    <xf numFmtId="170" fontId="17" fillId="7" borderId="29" xfId="0" applyNumberFormat="1" applyFont="1" applyFill="1" applyBorder="1" applyAlignment="1">
      <alignment horizontal="center" vertical="center"/>
    </xf>
    <xf numFmtId="165" fontId="17" fillId="7" borderId="29" xfId="0" applyNumberFormat="1" applyFont="1" applyFill="1" applyBorder="1" applyAlignment="1">
      <alignment horizontal="center" vertical="center"/>
    </xf>
    <xf numFmtId="0" fontId="13" fillId="0" borderId="29" xfId="0" applyFont="1" applyBorder="1" applyAlignment="1">
      <alignment wrapText="1"/>
    </xf>
    <xf numFmtId="0" fontId="18" fillId="0" borderId="29" xfId="0" applyFont="1" applyBorder="1" applyAlignment="1">
      <alignment wrapText="1"/>
    </xf>
    <xf numFmtId="0" fontId="17" fillId="0" borderId="29" xfId="0" applyFont="1" applyBorder="1"/>
    <xf numFmtId="168" fontId="17" fillId="0" borderId="29" xfId="0" applyNumberFormat="1" applyFont="1" applyBorder="1" applyAlignment="1">
      <alignment horizontal="center" vertical="center"/>
    </xf>
    <xf numFmtId="170" fontId="17" fillId="0" borderId="29" xfId="0" applyNumberFormat="1" applyFont="1" applyBorder="1" applyAlignment="1">
      <alignment horizontal="center" vertical="center"/>
    </xf>
    <xf numFmtId="165" fontId="17" fillId="0" borderId="29" xfId="0" applyNumberFormat="1" applyFont="1" applyBorder="1" applyAlignment="1">
      <alignment horizontal="center" vertical="center"/>
    </xf>
    <xf numFmtId="0" fontId="17" fillId="0" borderId="29" xfId="0" applyFont="1" applyBorder="1" applyAlignment="1">
      <alignment wrapText="1"/>
    </xf>
    <xf numFmtId="0" fontId="12" fillId="3" borderId="29" xfId="0" applyFont="1" applyFill="1" applyBorder="1"/>
    <xf numFmtId="3" fontId="17" fillId="3" borderId="29" xfId="0" applyNumberFormat="1" applyFont="1" applyFill="1" applyBorder="1" applyAlignment="1">
      <alignment horizontal="center" vertical="center"/>
    </xf>
    <xf numFmtId="168" fontId="17" fillId="3" borderId="29" xfId="0" applyNumberFormat="1" applyFont="1" applyFill="1" applyBorder="1" applyAlignment="1">
      <alignment horizontal="center" vertical="center"/>
    </xf>
    <xf numFmtId="170" fontId="17" fillId="3" borderId="29" xfId="0" applyNumberFormat="1" applyFont="1" applyFill="1" applyBorder="1" applyAlignment="1">
      <alignment horizontal="center" vertical="center"/>
    </xf>
    <xf numFmtId="165" fontId="17" fillId="3" borderId="29" xfId="0" applyNumberFormat="1" applyFont="1" applyFill="1" applyBorder="1" applyAlignment="1">
      <alignment horizontal="center" vertical="center"/>
    </xf>
    <xf numFmtId="3" fontId="19" fillId="2" borderId="29" xfId="0" applyNumberFormat="1" applyFont="1" applyFill="1" applyBorder="1" applyAlignment="1">
      <alignment horizontal="center" vertical="center"/>
    </xf>
    <xf numFmtId="0" fontId="19" fillId="0" borderId="29" xfId="0" applyFont="1" applyBorder="1"/>
    <xf numFmtId="3" fontId="18" fillId="4" borderId="29" xfId="0" applyNumberFormat="1" applyFont="1" applyFill="1" applyBorder="1" applyAlignment="1">
      <alignment horizontal="center" vertical="center"/>
    </xf>
    <xf numFmtId="0" fontId="20" fillId="0" borderId="0" xfId="0" applyFont="1"/>
    <xf numFmtId="3" fontId="0" fillId="0" borderId="0" xfId="0" applyNumberFormat="1"/>
    <xf numFmtId="0" fontId="13" fillId="0" borderId="0" xfId="0" applyFont="1" applyAlignment="1">
      <alignment wrapText="1"/>
    </xf>
    <xf numFmtId="0" fontId="21" fillId="0" borderId="42" xfId="0" applyFont="1" applyBorder="1" applyAlignment="1">
      <alignment horizontal="center" wrapText="1"/>
    </xf>
    <xf numFmtId="0" fontId="0" fillId="0" borderId="0" xfId="0" applyAlignment="1">
      <alignment vertical="center"/>
    </xf>
    <xf numFmtId="169" fontId="11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21" fillId="0" borderId="0" xfId="0" applyFont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/>
    </xf>
    <xf numFmtId="3" fontId="11" fillId="2" borderId="0" xfId="0" applyNumberFormat="1" applyFont="1" applyFill="1" applyAlignment="1">
      <alignment horizontal="center" vertical="center"/>
    </xf>
    <xf numFmtId="170" fontId="11" fillId="2" borderId="0" xfId="0" applyNumberFormat="1" applyFont="1" applyFill="1" applyAlignment="1">
      <alignment horizontal="center" vertical="center"/>
    </xf>
    <xf numFmtId="165" fontId="11" fillId="2" borderId="0" xfId="0" applyNumberFormat="1" applyFont="1" applyFill="1" applyAlignment="1">
      <alignment horizontal="center" vertical="center"/>
    </xf>
    <xf numFmtId="169" fontId="17" fillId="2" borderId="0" xfId="0" applyNumberFormat="1" applyFont="1" applyFill="1" applyAlignment="1">
      <alignment vertical="center"/>
    </xf>
    <xf numFmtId="169" fontId="11" fillId="0" borderId="0" xfId="0" applyNumberFormat="1" applyFont="1" applyAlignment="1">
      <alignment vertical="center"/>
    </xf>
    <xf numFmtId="4" fontId="11" fillId="2" borderId="0" xfId="0" applyNumberFormat="1" applyFont="1" applyFill="1" applyAlignment="1">
      <alignment vertical="center"/>
    </xf>
    <xf numFmtId="169" fontId="6" fillId="2" borderId="0" xfId="0" applyNumberFormat="1" applyFont="1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wrapText="1"/>
    </xf>
    <xf numFmtId="164" fontId="3" fillId="0" borderId="27" xfId="0" applyNumberFormat="1" applyFont="1" applyBorder="1" applyAlignment="1">
      <alignment horizontal="center" wrapText="1"/>
    </xf>
    <xf numFmtId="164" fontId="3" fillId="0" borderId="30" xfId="0" applyNumberFormat="1" applyFont="1" applyBorder="1" applyAlignment="1">
      <alignment horizontal="center" wrapText="1"/>
    </xf>
    <xf numFmtId="164" fontId="5" fillId="0" borderId="14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wrapText="1"/>
    </xf>
    <xf numFmtId="164" fontId="5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44" xfId="0" applyFont="1" applyBorder="1"/>
    <xf numFmtId="0" fontId="3" fillId="0" borderId="27" xfId="0" applyFont="1" applyBorder="1"/>
    <xf numFmtId="0" fontId="3" fillId="0" borderId="30" xfId="0" applyFont="1" applyBorder="1" applyAlignment="1">
      <alignment wrapText="1"/>
    </xf>
    <xf numFmtId="164" fontId="3" fillId="0" borderId="44" xfId="0" applyNumberFormat="1" applyFont="1" applyBorder="1" applyAlignment="1">
      <alignment horizontal="center" wrapText="1"/>
    </xf>
    <xf numFmtId="164" fontId="5" fillId="0" borderId="42" xfId="0" applyNumberFormat="1" applyFont="1" applyBorder="1" applyAlignment="1">
      <alignment horizontal="center" wrapText="1"/>
    </xf>
    <xf numFmtId="164" fontId="5" fillId="0" borderId="45" xfId="0" applyNumberFormat="1" applyFont="1" applyBorder="1" applyAlignment="1">
      <alignment horizontal="center" wrapText="1"/>
    </xf>
    <xf numFmtId="164" fontId="3" fillId="0" borderId="27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164" fontId="5" fillId="0" borderId="30" xfId="0" applyNumberFormat="1" applyFont="1" applyBorder="1" applyAlignment="1">
      <alignment horizontal="center" wrapText="1"/>
    </xf>
    <xf numFmtId="164" fontId="5" fillId="0" borderId="18" xfId="0" applyNumberFormat="1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wrapText="1"/>
    </xf>
    <xf numFmtId="164" fontId="3" fillId="0" borderId="12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wrapText="1"/>
    </xf>
    <xf numFmtId="164" fontId="3" fillId="0" borderId="46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/>
    </xf>
    <xf numFmtId="164" fontId="3" fillId="0" borderId="49" xfId="0" applyNumberFormat="1" applyFont="1" applyBorder="1" applyAlignment="1">
      <alignment horizontal="center" wrapText="1"/>
    </xf>
    <xf numFmtId="164" fontId="5" fillId="0" borderId="27" xfId="0" applyNumberFormat="1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wrapText="1"/>
    </xf>
    <xf numFmtId="164" fontId="3" fillId="0" borderId="43" xfId="0" applyNumberFormat="1" applyFont="1" applyBorder="1" applyAlignment="1">
      <alignment horizontal="center" wrapText="1"/>
    </xf>
    <xf numFmtId="164" fontId="3" fillId="0" borderId="41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18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wrapText="1"/>
    </xf>
    <xf numFmtId="164" fontId="3" fillId="0" borderId="43" xfId="0" applyNumberFormat="1" applyFont="1" applyBorder="1" applyAlignment="1">
      <alignment horizontal="center"/>
    </xf>
    <xf numFmtId="164" fontId="5" fillId="0" borderId="51" xfId="0" applyNumberFormat="1" applyFont="1" applyBorder="1" applyAlignment="1">
      <alignment horizontal="center" wrapText="1"/>
    </xf>
    <xf numFmtId="164" fontId="5" fillId="0" borderId="34" xfId="0" applyNumberFormat="1" applyFont="1" applyBorder="1" applyAlignment="1">
      <alignment horizont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51" xfId="0" applyNumberFormat="1" applyFont="1" applyBorder="1" applyAlignment="1">
      <alignment horizontal="center" vertical="center"/>
    </xf>
    <xf numFmtId="164" fontId="5" fillId="0" borderId="48" xfId="0" applyNumberFormat="1" applyFont="1" applyBorder="1" applyAlignment="1">
      <alignment horizontal="center" vertical="center"/>
    </xf>
    <xf numFmtId="164" fontId="5" fillId="0" borderId="49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5" fillId="0" borderId="44" xfId="0" applyNumberFormat="1" applyFont="1" applyBorder="1" applyAlignment="1">
      <alignment horizontal="center" vertical="center"/>
    </xf>
    <xf numFmtId="164" fontId="5" fillId="0" borderId="50" xfId="0" applyNumberFormat="1" applyFont="1" applyBorder="1" applyAlignment="1">
      <alignment horizontal="center" vertical="center"/>
    </xf>
    <xf numFmtId="4" fontId="0" fillId="0" borderId="0" xfId="0" applyNumberFormat="1"/>
    <xf numFmtId="0" fontId="1" fillId="0" borderId="29" xfId="0" applyFont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0" fontId="1" fillId="2" borderId="9" xfId="0" applyFont="1" applyFill="1" applyBorder="1"/>
    <xf numFmtId="2" fontId="1" fillId="2" borderId="9" xfId="0" applyNumberFormat="1" applyFont="1" applyFill="1" applyBorder="1"/>
    <xf numFmtId="0" fontId="15" fillId="0" borderId="2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right"/>
    </xf>
    <xf numFmtId="164" fontId="5" fillId="0" borderId="2" xfId="0" applyNumberFormat="1" applyFont="1" applyBorder="1" applyAlignment="1">
      <alignment horizontal="center" wrapText="1"/>
    </xf>
    <xf numFmtId="164" fontId="10" fillId="10" borderId="18" xfId="0" applyNumberFormat="1" applyFont="1" applyFill="1" applyBorder="1"/>
    <xf numFmtId="164" fontId="5" fillId="0" borderId="47" xfId="0" applyNumberFormat="1" applyFont="1" applyBorder="1" applyAlignment="1">
      <alignment horizontal="center" wrapText="1"/>
    </xf>
    <xf numFmtId="164" fontId="5" fillId="0" borderId="48" xfId="0" applyNumberFormat="1" applyFont="1" applyBorder="1" applyAlignment="1">
      <alignment horizontal="center" wrapText="1"/>
    </xf>
    <xf numFmtId="164" fontId="3" fillId="0" borderId="54" xfId="0" applyNumberFormat="1" applyFont="1" applyBorder="1" applyAlignment="1">
      <alignment horizontal="center" wrapText="1"/>
    </xf>
    <xf numFmtId="164" fontId="3" fillId="0" borderId="28" xfId="0" applyNumberFormat="1" applyFont="1" applyBorder="1" applyAlignment="1">
      <alignment horizontal="center" wrapText="1"/>
    </xf>
    <xf numFmtId="164" fontId="3" fillId="0" borderId="31" xfId="0" applyNumberFormat="1" applyFont="1" applyBorder="1" applyAlignment="1">
      <alignment horizontal="center" wrapText="1"/>
    </xf>
    <xf numFmtId="164" fontId="5" fillId="0" borderId="34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7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167" fontId="9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165" fontId="9" fillId="0" borderId="19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/>
    <xf numFmtId="167" fontId="1" fillId="0" borderId="9" xfId="0" applyNumberFormat="1" applyFont="1" applyBorder="1"/>
    <xf numFmtId="166" fontId="1" fillId="0" borderId="9" xfId="0" applyNumberFormat="1" applyFont="1" applyBorder="1"/>
    <xf numFmtId="4" fontId="1" fillId="0" borderId="28" xfId="0" applyNumberFormat="1" applyFont="1" applyBorder="1"/>
    <xf numFmtId="0" fontId="10" fillId="0" borderId="23" xfId="0" applyFont="1" applyBorder="1"/>
    <xf numFmtId="0" fontId="10" fillId="0" borderId="27" xfId="0" applyFont="1" applyBorder="1"/>
    <xf numFmtId="4" fontId="10" fillId="0" borderId="28" xfId="0" applyNumberFormat="1" applyFont="1" applyBorder="1"/>
    <xf numFmtId="4" fontId="10" fillId="0" borderId="29" xfId="0" applyNumberFormat="1" applyFont="1" applyBorder="1"/>
    <xf numFmtId="4" fontId="10" fillId="0" borderId="9" xfId="0" applyNumberFormat="1" applyFont="1" applyBorder="1"/>
    <xf numFmtId="2" fontId="10" fillId="0" borderId="29" xfId="0" applyNumberFormat="1" applyFont="1" applyBorder="1"/>
    <xf numFmtId="0" fontId="10" fillId="0" borderId="29" xfId="0" applyFont="1" applyBorder="1"/>
    <xf numFmtId="167" fontId="10" fillId="0" borderId="9" xfId="0" applyNumberFormat="1" applyFont="1" applyBorder="1"/>
    <xf numFmtId="2" fontId="10" fillId="0" borderId="9" xfId="0" applyNumberFormat="1" applyFont="1" applyBorder="1"/>
    <xf numFmtId="166" fontId="10" fillId="0" borderId="9" xfId="0" applyNumberFormat="1" applyFont="1" applyBorder="1"/>
    <xf numFmtId="0" fontId="10" fillId="0" borderId="9" xfId="0" applyFont="1" applyBorder="1"/>
    <xf numFmtId="164" fontId="10" fillId="0" borderId="9" xfId="0" applyNumberFormat="1" applyFont="1" applyBorder="1"/>
    <xf numFmtId="165" fontId="10" fillId="0" borderId="9" xfId="0" applyNumberFormat="1" applyFont="1" applyBorder="1"/>
    <xf numFmtId="0" fontId="10" fillId="0" borderId="0" xfId="0" applyFont="1"/>
    <xf numFmtId="4" fontId="11" fillId="0" borderId="29" xfId="0" applyNumberFormat="1" applyFont="1" applyBorder="1"/>
    <xf numFmtId="4" fontId="1" fillId="0" borderId="31" xfId="0" applyNumberFormat="1" applyFont="1" applyBorder="1"/>
    <xf numFmtId="4" fontId="1" fillId="0" borderId="16" xfId="0" applyNumberFormat="1" applyFont="1" applyBorder="1"/>
    <xf numFmtId="4" fontId="10" fillId="0" borderId="12" xfId="0" applyNumberFormat="1" applyFont="1" applyBorder="1"/>
    <xf numFmtId="167" fontId="10" fillId="0" borderId="12" xfId="0" applyNumberFormat="1" applyFont="1" applyBorder="1"/>
    <xf numFmtId="165" fontId="10" fillId="0" borderId="12" xfId="0" applyNumberFormat="1" applyFont="1" applyBorder="1"/>
    <xf numFmtId="167" fontId="1" fillId="0" borderId="0" xfId="0" applyNumberFormat="1" applyFont="1"/>
    <xf numFmtId="4" fontId="10" fillId="0" borderId="0" xfId="0" applyNumberFormat="1" applyFont="1"/>
    <xf numFmtId="0" fontId="10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3" borderId="29" xfId="0" applyFont="1" applyFill="1" applyBorder="1" applyAlignment="1">
      <alignment horizontal="center" wrapText="1"/>
    </xf>
    <xf numFmtId="0" fontId="1" fillId="8" borderId="29" xfId="0" applyFont="1" applyFill="1" applyBorder="1" applyAlignment="1">
      <alignment horizont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169" fontId="22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9" fontId="11" fillId="2" borderId="0" xfId="0" applyNumberFormat="1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wrapText="1"/>
    </xf>
    <xf numFmtId="169" fontId="17" fillId="2" borderId="0" xfId="0" applyNumberFormat="1" applyFont="1" applyFill="1" applyAlignment="1">
      <alignment horizontal="center" wrapText="1"/>
    </xf>
    <xf numFmtId="0" fontId="2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9" fontId="11" fillId="2" borderId="0" xfId="0" applyNumberFormat="1" applyFont="1" applyFill="1" applyAlignment="1">
      <alignment vertical="center"/>
    </xf>
    <xf numFmtId="0" fontId="21" fillId="0" borderId="0" xfId="0" applyFont="1"/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Автор" id="{1B7E407F-53F5-4836-8F03-76A8F3653504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4" personId="{1B7E407F-53F5-4836-8F03-76A8F3653504}" id="{00BB0044-0039-46AC-8CE3-00AC005A00F5}" done="0">
    <text xml:space="preserve">Указ Президента РФ от 25 июля 2006 г. № 763 "О денежном содержании федеральных государственных гражданских служащих"
</text>
  </threadedComment>
  <threadedComment ref="H4" personId="{1B7E407F-53F5-4836-8F03-76A8F3653504}" id="{003A000E-0008-42E1-B962-004400D90082}" done="0">
    <text xml:space="preserve">247,5 рабочего дня в году x 7,2 рабочих часов в день (36 часовая неделя)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N4" personId="{1B7E407F-53F5-4836-8F03-76A8F3653504}" id="{001D003F-00C0-43C4-84FD-0043008100E7}" done="0">
    <text xml:space="preserve">Указ Президента РФ от 25 июля 2006 г. № 763 "О денежном содержании федеральных государственных гражданских служащих"
</text>
  </threadedComment>
  <threadedComment ref="H4" personId="{1B7E407F-53F5-4836-8F03-76A8F3653504}" id="{009E0096-00F8-464F-AD8C-00E200150064}" done="0">
    <text xml:space="preserve">247,5 рабочего дня в году x 7,2 рабочих часов в день (36 часовая неделя)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" personId="{1B7E407F-53F5-4836-8F03-76A8F3653504}" id="{009A004B-00C7-4B4D-AA4C-008D009C00CD}" done="0">
    <text xml:space="preserve">с учетом индексации ФОТ с 01.10.2025 на 4%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6"/>
  <sheetViews>
    <sheetView zoomScale="80" workbookViewId="0">
      <pane xSplit="2" ySplit="5" topLeftCell="J67" activePane="bottomRight" state="frozen"/>
      <selection activeCell="V98" sqref="V98"/>
      <selection pane="topRight"/>
      <selection pane="bottomLeft"/>
      <selection pane="bottomRight" activeCell="A6" sqref="A6:XFD84"/>
    </sheetView>
  </sheetViews>
  <sheetFormatPr defaultRowHeight="15" x14ac:dyDescent="0.25"/>
  <cols>
    <col min="1" max="1" width="5.85546875" style="1" customWidth="1"/>
    <col min="2" max="2" width="21.85546875" style="1" customWidth="1"/>
    <col min="3" max="5" width="11.140625" style="2" customWidth="1"/>
    <col min="6" max="17" width="9" style="1" customWidth="1"/>
    <col min="18" max="18" width="14.5703125" style="3" customWidth="1"/>
    <col min="19" max="19" width="15" style="3" customWidth="1"/>
    <col min="20" max="23" width="9" style="1" customWidth="1"/>
    <col min="24" max="24" width="12.42578125" style="1" customWidth="1"/>
    <col min="25" max="25" width="14.140625" style="1" customWidth="1"/>
    <col min="26" max="26" width="15" style="1" customWidth="1"/>
    <col min="27" max="27" width="14" style="1" customWidth="1"/>
    <col min="28" max="30" width="16.140625" style="1" customWidth="1"/>
    <col min="31" max="31" width="15.5703125" style="1" customWidth="1"/>
    <col min="32" max="32" width="13.85546875" style="1" customWidth="1"/>
    <col min="33" max="33" width="13.140625" style="1" customWidth="1"/>
    <col min="34" max="34" width="15" style="1" customWidth="1"/>
    <col min="35" max="35" width="9" style="1" customWidth="1"/>
    <col min="36" max="16384" width="9.140625" style="1"/>
  </cols>
  <sheetData>
    <row r="1" spans="1:34" ht="18.75" x14ac:dyDescent="0.3">
      <c r="A1" s="362" t="s">
        <v>0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  <c r="AB1" s="362"/>
      <c r="AC1" s="4"/>
      <c r="AD1" s="4"/>
    </row>
    <row r="2" spans="1:34" ht="18.75" x14ac:dyDescent="0.25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A2" s="363"/>
      <c r="AB2" s="363"/>
      <c r="AC2" s="5"/>
      <c r="AD2" s="5"/>
    </row>
    <row r="3" spans="1:34" ht="46.5" customHeight="1" x14ac:dyDescent="0.3">
      <c r="A3" s="364" t="s">
        <v>1</v>
      </c>
      <c r="B3" s="366" t="s">
        <v>2</v>
      </c>
      <c r="C3" s="368" t="s">
        <v>3</v>
      </c>
      <c r="D3" s="369"/>
      <c r="E3" s="369"/>
      <c r="F3" s="370" t="s">
        <v>4</v>
      </c>
      <c r="G3" s="371"/>
      <c r="H3" s="371"/>
      <c r="I3" s="371"/>
      <c r="J3" s="371"/>
      <c r="K3" s="371"/>
      <c r="L3" s="371"/>
      <c r="M3" s="372"/>
      <c r="N3" s="373" t="s">
        <v>5</v>
      </c>
      <c r="O3" s="374"/>
      <c r="P3" s="374"/>
      <c r="Q3" s="374"/>
      <c r="R3" s="374"/>
      <c r="S3" s="375"/>
      <c r="T3" s="6"/>
      <c r="U3" s="7"/>
      <c r="V3" s="6"/>
      <c r="W3" s="6"/>
      <c r="X3" s="6"/>
      <c r="Y3" s="6"/>
      <c r="Z3" s="8"/>
      <c r="AA3" s="8"/>
      <c r="AB3" s="376" t="s">
        <v>6</v>
      </c>
      <c r="AC3" s="377"/>
      <c r="AD3" s="378"/>
      <c r="AE3" s="357" t="s">
        <v>7</v>
      </c>
      <c r="AF3" s="358"/>
      <c r="AG3" s="359"/>
      <c r="AH3" s="360" t="s">
        <v>8</v>
      </c>
    </row>
    <row r="4" spans="1:34" s="9" customFormat="1" ht="153" x14ac:dyDescent="0.2">
      <c r="A4" s="365"/>
      <c r="B4" s="367"/>
      <c r="C4" s="10" t="s">
        <v>9</v>
      </c>
      <c r="D4" s="11" t="s">
        <v>10</v>
      </c>
      <c r="E4" s="12" t="s">
        <v>11</v>
      </c>
      <c r="F4" s="13" t="s">
        <v>12</v>
      </c>
      <c r="G4" s="14" t="s">
        <v>13</v>
      </c>
      <c r="H4" s="15" t="s">
        <v>14</v>
      </c>
      <c r="I4" s="16" t="s">
        <v>15</v>
      </c>
      <c r="J4" s="16" t="s">
        <v>16</v>
      </c>
      <c r="K4" s="17" t="s">
        <v>17</v>
      </c>
      <c r="L4" s="18" t="s">
        <v>18</v>
      </c>
      <c r="M4" s="19" t="s">
        <v>19</v>
      </c>
      <c r="N4" s="20" t="s">
        <v>20</v>
      </c>
      <c r="O4" s="21" t="s">
        <v>21</v>
      </c>
      <c r="P4" s="21" t="s">
        <v>22</v>
      </c>
      <c r="Q4" s="21" t="s">
        <v>23</v>
      </c>
      <c r="R4" s="22" t="s">
        <v>24</v>
      </c>
      <c r="S4" s="23" t="s">
        <v>25</v>
      </c>
      <c r="T4" s="24" t="s">
        <v>26</v>
      </c>
      <c r="U4" s="25" t="s">
        <v>27</v>
      </c>
      <c r="V4" s="26" t="s">
        <v>28</v>
      </c>
      <c r="W4" s="27" t="s">
        <v>29</v>
      </c>
      <c r="X4" s="25" t="s">
        <v>30</v>
      </c>
      <c r="Y4" s="25" t="s">
        <v>31</v>
      </c>
      <c r="Z4" s="28" t="s">
        <v>32</v>
      </c>
      <c r="AA4" s="29" t="s">
        <v>33</v>
      </c>
      <c r="AB4" s="30" t="s">
        <v>34</v>
      </c>
      <c r="AC4" s="31" t="s">
        <v>35</v>
      </c>
      <c r="AD4" s="32" t="s">
        <v>36</v>
      </c>
      <c r="AE4" s="33" t="s">
        <v>37</v>
      </c>
      <c r="AF4" s="31" t="s">
        <v>35</v>
      </c>
      <c r="AG4" s="32" t="s">
        <v>36</v>
      </c>
      <c r="AH4" s="361"/>
    </row>
    <row r="5" spans="1:34" ht="33.75" x14ac:dyDescent="0.25">
      <c r="A5" s="34"/>
      <c r="B5" s="35"/>
      <c r="C5" s="36" t="s">
        <v>38</v>
      </c>
      <c r="D5" s="37" t="s">
        <v>38</v>
      </c>
      <c r="E5" s="38" t="s">
        <v>39</v>
      </c>
      <c r="F5" s="39"/>
      <c r="G5" s="40" t="s">
        <v>40</v>
      </c>
      <c r="H5" s="40"/>
      <c r="I5" s="41"/>
      <c r="J5" s="41"/>
      <c r="K5" s="41" t="s">
        <v>41</v>
      </c>
      <c r="L5" s="42"/>
      <c r="M5" s="43"/>
      <c r="N5" s="44" t="s">
        <v>42</v>
      </c>
      <c r="O5" s="45"/>
      <c r="P5" s="45"/>
      <c r="Q5" s="45"/>
      <c r="R5" s="46" t="s">
        <v>43</v>
      </c>
      <c r="S5" s="47" t="s">
        <v>44</v>
      </c>
      <c r="T5" s="48" t="s">
        <v>45</v>
      </c>
      <c r="U5" s="49">
        <v>22440</v>
      </c>
      <c r="V5" s="50"/>
      <c r="W5" s="50"/>
      <c r="X5" s="51"/>
      <c r="Y5" s="51" t="s">
        <v>46</v>
      </c>
      <c r="Z5" s="52" t="s">
        <v>47</v>
      </c>
      <c r="AA5" s="52" t="s">
        <v>48</v>
      </c>
      <c r="AB5" s="53" t="s">
        <v>49</v>
      </c>
      <c r="AC5" s="54"/>
      <c r="AD5" s="54"/>
      <c r="AE5" s="55"/>
      <c r="AF5" s="56"/>
      <c r="AG5" s="57"/>
      <c r="AH5" s="58"/>
    </row>
    <row r="6" spans="1:34" hidden="1" x14ac:dyDescent="0.25">
      <c r="A6" s="59">
        <v>101</v>
      </c>
      <c r="B6" s="60" t="s">
        <v>50</v>
      </c>
      <c r="C6" s="61">
        <v>1791.33</v>
      </c>
      <c r="D6" s="62">
        <v>6826.67</v>
      </c>
      <c r="E6" s="62">
        <f t="shared" ref="E6:E69" si="0">(C6+D6)</f>
        <v>8618</v>
      </c>
      <c r="F6" s="63">
        <v>1.1200000000000001</v>
      </c>
      <c r="G6" s="63">
        <f t="shared" ref="G6:G69" si="1">E6*F6</f>
        <v>9652.16</v>
      </c>
      <c r="H6" s="64">
        <v>1980</v>
      </c>
      <c r="I6" s="63">
        <v>1</v>
      </c>
      <c r="J6" s="63">
        <v>1.1000000000000001</v>
      </c>
      <c r="K6" s="65">
        <f t="shared" ref="K6:K69" si="2">(G6/H6)*I6*J6</f>
        <v>5.3623000000000003</v>
      </c>
      <c r="L6" s="65">
        <v>4</v>
      </c>
      <c r="M6" s="65">
        <f t="shared" ref="M6:M19" si="3">K6-L6</f>
        <v>1.3623000000000001</v>
      </c>
      <c r="N6" s="66">
        <f t="shared" ref="N6:N69" si="4">18042*1.04*1.055</f>
        <v>19796</v>
      </c>
      <c r="O6" s="64">
        <v>1.8</v>
      </c>
      <c r="P6" s="7">
        <v>2.2000000000000002</v>
      </c>
      <c r="Q6" s="64">
        <v>1.302</v>
      </c>
      <c r="R6" s="67">
        <f t="shared" ref="R6:R69" si="5">N6*O6*P6*Q6*12</f>
        <v>1224799.1000000001</v>
      </c>
      <c r="S6" s="68">
        <f t="shared" ref="S6:S69" si="6">(R6*K6)</f>
        <v>6567740.2000000002</v>
      </c>
      <c r="T6" s="69">
        <f t="shared" ref="T6:T69" si="7">K6/J6*0.2</f>
        <v>0.97499999999999998</v>
      </c>
      <c r="U6" s="7">
        <v>22440</v>
      </c>
      <c r="V6" s="7">
        <f t="shared" ref="V6:V69" si="8">U6*P6</f>
        <v>49368</v>
      </c>
      <c r="W6" s="7">
        <f t="shared" ref="W6:W69" si="9">V6*0.302</f>
        <v>14909.1</v>
      </c>
      <c r="X6" s="7">
        <f t="shared" ref="X6:X69" si="10">V6*1.302*12</f>
        <v>771325.6</v>
      </c>
      <c r="Y6" s="70">
        <f t="shared" ref="Y6:Y69" si="11">X6*T6</f>
        <v>752042.5</v>
      </c>
      <c r="Z6" s="67">
        <f t="shared" ref="Z6:Z69" si="12">(S6+Y6)*0.2</f>
        <v>1463956.5</v>
      </c>
      <c r="AA6" s="67">
        <f t="shared" ref="AA6:AA69" si="13">(K6/2)*(R6/12)+(T6/2)*(X6/12)</f>
        <v>304990.90000000002</v>
      </c>
      <c r="AB6" s="71">
        <f t="shared" ref="AB6:AB69" si="14">S6+Y6+Z6+AA6</f>
        <v>9088730.0999999996</v>
      </c>
      <c r="AC6" s="71">
        <f t="shared" ref="AC6:AC69" si="15">AB6/$AB$93*$AC$93</f>
        <v>5722940.0999999996</v>
      </c>
      <c r="AD6" s="71">
        <f t="shared" ref="AD6:AD69" si="16">AB6-AC6</f>
        <v>3365790</v>
      </c>
      <c r="AE6" s="7">
        <f t="shared" ref="AE6:AE69" si="17">AF6+AG6</f>
        <v>8859100</v>
      </c>
      <c r="AF6" s="72">
        <v>6379000</v>
      </c>
      <c r="AG6" s="72">
        <v>2480100</v>
      </c>
      <c r="AH6" s="72">
        <f t="shared" ref="AH6:AH69" si="18">AB6-AE6</f>
        <v>229630.1</v>
      </c>
    </row>
    <row r="7" spans="1:34" hidden="1" x14ac:dyDescent="0.25">
      <c r="A7" s="59">
        <v>102</v>
      </c>
      <c r="B7" s="73" t="s">
        <v>51</v>
      </c>
      <c r="C7" s="74">
        <v>1143.33</v>
      </c>
      <c r="D7" s="75">
        <v>4887.67</v>
      </c>
      <c r="E7" s="62">
        <f t="shared" si="0"/>
        <v>6031</v>
      </c>
      <c r="F7" s="63">
        <v>1.1200000000000001</v>
      </c>
      <c r="G7" s="76">
        <f t="shared" si="1"/>
        <v>6754.72</v>
      </c>
      <c r="H7" s="77">
        <v>1980</v>
      </c>
      <c r="I7" s="63">
        <v>1</v>
      </c>
      <c r="J7" s="63">
        <v>1.1000000000000001</v>
      </c>
      <c r="K7" s="65">
        <f t="shared" si="2"/>
        <v>3.7526000000000002</v>
      </c>
      <c r="L7" s="65">
        <v>3</v>
      </c>
      <c r="M7" s="65">
        <f t="shared" si="3"/>
        <v>0.75260000000000005</v>
      </c>
      <c r="N7" s="66">
        <f t="shared" si="4"/>
        <v>19796</v>
      </c>
      <c r="O7" s="64">
        <v>1.8</v>
      </c>
      <c r="P7" s="7">
        <v>2.2000000000000002</v>
      </c>
      <c r="Q7" s="64">
        <v>1.302</v>
      </c>
      <c r="R7" s="67">
        <f t="shared" si="5"/>
        <v>1224799.1000000001</v>
      </c>
      <c r="S7" s="68">
        <f t="shared" si="6"/>
        <v>4596181.0999999996</v>
      </c>
      <c r="T7" s="69">
        <f t="shared" si="7"/>
        <v>0.68200000000000005</v>
      </c>
      <c r="U7" s="7">
        <v>22440</v>
      </c>
      <c r="V7" s="7">
        <f t="shared" si="8"/>
        <v>49368</v>
      </c>
      <c r="W7" s="7">
        <f t="shared" si="9"/>
        <v>14909.1</v>
      </c>
      <c r="X7" s="7">
        <f t="shared" si="10"/>
        <v>771325.6</v>
      </c>
      <c r="Y7" s="70">
        <f t="shared" si="11"/>
        <v>526044.1</v>
      </c>
      <c r="Z7" s="67">
        <f t="shared" si="12"/>
        <v>1024445</v>
      </c>
      <c r="AA7" s="67">
        <f t="shared" si="13"/>
        <v>213426</v>
      </c>
      <c r="AB7" s="71">
        <f t="shared" si="14"/>
        <v>6360096.2000000002</v>
      </c>
      <c r="AC7" s="71">
        <f t="shared" si="15"/>
        <v>4004789.4</v>
      </c>
      <c r="AD7" s="71">
        <f t="shared" si="16"/>
        <v>2355306.7999999998</v>
      </c>
      <c r="AE7" s="78">
        <f t="shared" si="17"/>
        <v>6829800</v>
      </c>
      <c r="AF7" s="79">
        <v>4917800</v>
      </c>
      <c r="AG7" s="79">
        <v>1912000</v>
      </c>
      <c r="AH7" s="72">
        <f t="shared" si="18"/>
        <v>-469703.8</v>
      </c>
    </row>
    <row r="8" spans="1:34" hidden="1" x14ac:dyDescent="0.25">
      <c r="A8" s="59">
        <v>103</v>
      </c>
      <c r="B8" s="73" t="s">
        <v>52</v>
      </c>
      <c r="C8" s="74">
        <v>1566.33</v>
      </c>
      <c r="D8" s="75">
        <v>5557.67</v>
      </c>
      <c r="E8" s="62">
        <f t="shared" si="0"/>
        <v>7124</v>
      </c>
      <c r="F8" s="63">
        <v>1.1200000000000001</v>
      </c>
      <c r="G8" s="76">
        <f t="shared" si="1"/>
        <v>7978.88</v>
      </c>
      <c r="H8" s="77">
        <v>1980</v>
      </c>
      <c r="I8" s="63">
        <v>1</v>
      </c>
      <c r="J8" s="63">
        <v>1.1000000000000001</v>
      </c>
      <c r="K8" s="65">
        <f t="shared" si="2"/>
        <v>4.4326999999999996</v>
      </c>
      <c r="L8" s="65">
        <v>4</v>
      </c>
      <c r="M8" s="65">
        <f t="shared" si="3"/>
        <v>0.43269999999999997</v>
      </c>
      <c r="N8" s="66">
        <f t="shared" si="4"/>
        <v>19796</v>
      </c>
      <c r="O8" s="64">
        <v>1.8</v>
      </c>
      <c r="P8" s="7">
        <v>2.2000000000000002</v>
      </c>
      <c r="Q8" s="64">
        <v>1.302</v>
      </c>
      <c r="R8" s="67">
        <f t="shared" si="5"/>
        <v>1224799.1000000001</v>
      </c>
      <c r="S8" s="68">
        <f t="shared" si="6"/>
        <v>5429167</v>
      </c>
      <c r="T8" s="69">
        <f t="shared" si="7"/>
        <v>0.80600000000000005</v>
      </c>
      <c r="U8" s="7">
        <v>22440</v>
      </c>
      <c r="V8" s="7">
        <f t="shared" si="8"/>
        <v>49368</v>
      </c>
      <c r="W8" s="7">
        <f t="shared" si="9"/>
        <v>14909.1</v>
      </c>
      <c r="X8" s="7">
        <f t="shared" si="10"/>
        <v>771325.6</v>
      </c>
      <c r="Y8" s="70">
        <f t="shared" si="11"/>
        <v>621688.4</v>
      </c>
      <c r="Z8" s="67">
        <f t="shared" si="12"/>
        <v>1210171.1000000001</v>
      </c>
      <c r="AA8" s="67">
        <f t="shared" si="13"/>
        <v>252119</v>
      </c>
      <c r="AB8" s="71">
        <f t="shared" si="14"/>
        <v>7513145.5</v>
      </c>
      <c r="AC8" s="71">
        <f t="shared" si="15"/>
        <v>4730835</v>
      </c>
      <c r="AD8" s="71">
        <f t="shared" si="16"/>
        <v>2782310.5</v>
      </c>
      <c r="AE8" s="78">
        <f t="shared" si="17"/>
        <v>8859100</v>
      </c>
      <c r="AF8" s="79">
        <v>6379000</v>
      </c>
      <c r="AG8" s="79">
        <v>2480100</v>
      </c>
      <c r="AH8" s="72">
        <f t="shared" si="18"/>
        <v>-1345954.5</v>
      </c>
    </row>
    <row r="9" spans="1:34" hidden="1" x14ac:dyDescent="0.25">
      <c r="A9" s="59">
        <v>104</v>
      </c>
      <c r="B9" s="73" t="s">
        <v>53</v>
      </c>
      <c r="C9" s="74">
        <v>3690.33</v>
      </c>
      <c r="D9" s="75">
        <v>11512</v>
      </c>
      <c r="E9" s="62">
        <f t="shared" si="0"/>
        <v>15202.33</v>
      </c>
      <c r="F9" s="63">
        <v>1.1200000000000001</v>
      </c>
      <c r="G9" s="76">
        <f t="shared" si="1"/>
        <v>17026.61</v>
      </c>
      <c r="H9" s="77">
        <v>1980</v>
      </c>
      <c r="I9" s="63">
        <v>1</v>
      </c>
      <c r="J9" s="63">
        <v>1.1000000000000001</v>
      </c>
      <c r="K9" s="65">
        <f t="shared" si="2"/>
        <v>9.4591999999999992</v>
      </c>
      <c r="L9" s="65">
        <v>6</v>
      </c>
      <c r="M9" s="65">
        <f t="shared" si="3"/>
        <v>3.4592000000000001</v>
      </c>
      <c r="N9" s="66">
        <f t="shared" si="4"/>
        <v>19796</v>
      </c>
      <c r="O9" s="64">
        <v>1.8</v>
      </c>
      <c r="P9" s="7">
        <v>2.2000000000000002</v>
      </c>
      <c r="Q9" s="64">
        <v>1.302</v>
      </c>
      <c r="R9" s="67">
        <f t="shared" si="5"/>
        <v>1224799.1000000001</v>
      </c>
      <c r="S9" s="68">
        <f t="shared" si="6"/>
        <v>11585619.6</v>
      </c>
      <c r="T9" s="69">
        <f t="shared" si="7"/>
        <v>1.72</v>
      </c>
      <c r="U9" s="7">
        <v>22440</v>
      </c>
      <c r="V9" s="7">
        <f t="shared" si="8"/>
        <v>49368</v>
      </c>
      <c r="W9" s="7">
        <f t="shared" si="9"/>
        <v>14909.1</v>
      </c>
      <c r="X9" s="7">
        <f t="shared" si="10"/>
        <v>771325.6</v>
      </c>
      <c r="Y9" s="70">
        <f t="shared" si="11"/>
        <v>1326680</v>
      </c>
      <c r="Z9" s="67">
        <f t="shared" si="12"/>
        <v>2582459.9</v>
      </c>
      <c r="AA9" s="67">
        <f t="shared" si="13"/>
        <v>538012.5</v>
      </c>
      <c r="AB9" s="71">
        <f t="shared" si="14"/>
        <v>16032772</v>
      </c>
      <c r="AC9" s="71">
        <f t="shared" si="15"/>
        <v>10095425.199999999</v>
      </c>
      <c r="AD9" s="71">
        <f t="shared" si="16"/>
        <v>5937346.7999999998</v>
      </c>
      <c r="AE9" s="78">
        <f t="shared" si="17"/>
        <v>13307000</v>
      </c>
      <c r="AF9" s="79">
        <v>9581800</v>
      </c>
      <c r="AG9" s="79">
        <v>3725200</v>
      </c>
      <c r="AH9" s="72">
        <f t="shared" si="18"/>
        <v>2725772</v>
      </c>
    </row>
    <row r="10" spans="1:34" hidden="1" x14ac:dyDescent="0.25">
      <c r="A10" s="59">
        <v>105</v>
      </c>
      <c r="B10" s="73" t="s">
        <v>54</v>
      </c>
      <c r="C10" s="74">
        <v>8958.33</v>
      </c>
      <c r="D10" s="75">
        <v>37111</v>
      </c>
      <c r="E10" s="62">
        <f t="shared" si="0"/>
        <v>46069.33</v>
      </c>
      <c r="F10" s="63">
        <v>1.1200000000000001</v>
      </c>
      <c r="G10" s="76">
        <f t="shared" si="1"/>
        <v>51597.65</v>
      </c>
      <c r="H10" s="77">
        <v>1980</v>
      </c>
      <c r="I10" s="63">
        <v>1</v>
      </c>
      <c r="J10" s="63">
        <v>1.1000000000000001</v>
      </c>
      <c r="K10" s="65">
        <f t="shared" si="2"/>
        <v>28.665400000000002</v>
      </c>
      <c r="L10" s="65">
        <v>15</v>
      </c>
      <c r="M10" s="65">
        <f t="shared" si="3"/>
        <v>13.6654</v>
      </c>
      <c r="N10" s="66">
        <f t="shared" si="4"/>
        <v>19796</v>
      </c>
      <c r="O10" s="64">
        <v>1.8</v>
      </c>
      <c r="P10" s="7">
        <v>2.2000000000000002</v>
      </c>
      <c r="Q10" s="64">
        <v>1.302</v>
      </c>
      <c r="R10" s="67">
        <f t="shared" si="5"/>
        <v>1224799.1000000001</v>
      </c>
      <c r="S10" s="68">
        <f t="shared" si="6"/>
        <v>35109356.100000001</v>
      </c>
      <c r="T10" s="69">
        <f t="shared" si="7"/>
        <v>5.2119999999999997</v>
      </c>
      <c r="U10" s="7">
        <v>22440</v>
      </c>
      <c r="V10" s="7">
        <f t="shared" si="8"/>
        <v>49368</v>
      </c>
      <c r="W10" s="7">
        <f t="shared" si="9"/>
        <v>14909.1</v>
      </c>
      <c r="X10" s="7">
        <f t="shared" si="10"/>
        <v>771325.6</v>
      </c>
      <c r="Y10" s="70">
        <f t="shared" si="11"/>
        <v>4020149</v>
      </c>
      <c r="Z10" s="67">
        <f t="shared" si="12"/>
        <v>7825901</v>
      </c>
      <c r="AA10" s="67">
        <f t="shared" si="13"/>
        <v>1630396</v>
      </c>
      <c r="AB10" s="71">
        <f t="shared" si="14"/>
        <v>48585802.100000001</v>
      </c>
      <c r="AC10" s="71">
        <f t="shared" si="15"/>
        <v>30593233</v>
      </c>
      <c r="AD10" s="71">
        <f t="shared" si="16"/>
        <v>17992569.100000001</v>
      </c>
      <c r="AE10" s="78">
        <f t="shared" si="17"/>
        <v>35254300</v>
      </c>
      <c r="AF10" s="79">
        <v>25385100</v>
      </c>
      <c r="AG10" s="79">
        <v>9869200</v>
      </c>
      <c r="AH10" s="72">
        <f t="shared" si="18"/>
        <v>13331502.1</v>
      </c>
    </row>
    <row r="11" spans="1:34" hidden="1" x14ac:dyDescent="0.25">
      <c r="A11" s="59">
        <v>106</v>
      </c>
      <c r="B11" s="73" t="s">
        <v>55</v>
      </c>
      <c r="C11" s="74">
        <v>1993</v>
      </c>
      <c r="D11" s="75">
        <v>8455.67</v>
      </c>
      <c r="E11" s="62">
        <f t="shared" si="0"/>
        <v>10448.67</v>
      </c>
      <c r="F11" s="63">
        <v>1.1200000000000001</v>
      </c>
      <c r="G11" s="76">
        <f t="shared" si="1"/>
        <v>11702.51</v>
      </c>
      <c r="H11" s="77">
        <v>1980</v>
      </c>
      <c r="I11" s="63">
        <v>1</v>
      </c>
      <c r="J11" s="63">
        <v>1.1000000000000001</v>
      </c>
      <c r="K11" s="65">
        <f t="shared" si="2"/>
        <v>6.5014000000000003</v>
      </c>
      <c r="L11" s="65">
        <v>4</v>
      </c>
      <c r="M11" s="65">
        <f t="shared" si="3"/>
        <v>2.5013999999999998</v>
      </c>
      <c r="N11" s="66">
        <f t="shared" si="4"/>
        <v>19796</v>
      </c>
      <c r="O11" s="64">
        <v>1.8</v>
      </c>
      <c r="P11" s="7">
        <v>2.2000000000000002</v>
      </c>
      <c r="Q11" s="64">
        <v>1.302</v>
      </c>
      <c r="R11" s="67">
        <f t="shared" si="5"/>
        <v>1224799.1000000001</v>
      </c>
      <c r="S11" s="68">
        <f t="shared" si="6"/>
        <v>7962908.9000000004</v>
      </c>
      <c r="T11" s="69">
        <f t="shared" si="7"/>
        <v>1.1819999999999999</v>
      </c>
      <c r="U11" s="7">
        <v>22440</v>
      </c>
      <c r="V11" s="7">
        <f t="shared" si="8"/>
        <v>49368</v>
      </c>
      <c r="W11" s="7">
        <f>V11*0.302</f>
        <v>14909.1</v>
      </c>
      <c r="X11" s="7">
        <f t="shared" si="10"/>
        <v>771325.6</v>
      </c>
      <c r="Y11" s="70">
        <f t="shared" si="11"/>
        <v>911706.9</v>
      </c>
      <c r="Z11" s="67">
        <f t="shared" si="12"/>
        <v>1774923.2</v>
      </c>
      <c r="AA11" s="67">
        <f t="shared" si="13"/>
        <v>369775.7</v>
      </c>
      <c r="AB11" s="71">
        <f t="shared" si="14"/>
        <v>11019314.699999999</v>
      </c>
      <c r="AC11" s="71">
        <f t="shared" si="15"/>
        <v>6938579.7000000002</v>
      </c>
      <c r="AD11" s="71">
        <f t="shared" si="16"/>
        <v>4080735</v>
      </c>
      <c r="AE11" s="78">
        <f t="shared" si="17"/>
        <v>8859100</v>
      </c>
      <c r="AF11" s="79">
        <v>6379000</v>
      </c>
      <c r="AG11" s="79">
        <v>2480100</v>
      </c>
      <c r="AH11" s="72">
        <f t="shared" si="18"/>
        <v>2160214.7000000002</v>
      </c>
    </row>
    <row r="12" spans="1:34" hidden="1" x14ac:dyDescent="0.25">
      <c r="A12" s="59">
        <v>107</v>
      </c>
      <c r="B12" s="73" t="s">
        <v>56</v>
      </c>
      <c r="C12" s="74">
        <v>469.67</v>
      </c>
      <c r="D12" s="75">
        <v>2879</v>
      </c>
      <c r="E12" s="62">
        <f t="shared" si="0"/>
        <v>3348.67</v>
      </c>
      <c r="F12" s="63">
        <v>1.1200000000000001</v>
      </c>
      <c r="G12" s="76">
        <f t="shared" si="1"/>
        <v>3750.51</v>
      </c>
      <c r="H12" s="77">
        <v>1980</v>
      </c>
      <c r="I12" s="63">
        <v>1</v>
      </c>
      <c r="J12" s="63">
        <v>1.1000000000000001</v>
      </c>
      <c r="K12" s="65">
        <f t="shared" si="2"/>
        <v>2.0836000000000001</v>
      </c>
      <c r="L12" s="65">
        <v>2</v>
      </c>
      <c r="M12" s="65">
        <f t="shared" si="3"/>
        <v>8.3599999999999994E-2</v>
      </c>
      <c r="N12" s="66">
        <f t="shared" si="4"/>
        <v>19796</v>
      </c>
      <c r="O12" s="64">
        <v>1.8</v>
      </c>
      <c r="P12" s="7">
        <v>2.2000000000000002</v>
      </c>
      <c r="Q12" s="64">
        <v>1.302</v>
      </c>
      <c r="R12" s="67">
        <f t="shared" si="5"/>
        <v>1224799.1000000001</v>
      </c>
      <c r="S12" s="68">
        <f t="shared" si="6"/>
        <v>2551991.4</v>
      </c>
      <c r="T12" s="69">
        <f t="shared" si="7"/>
        <v>0.379</v>
      </c>
      <c r="U12" s="7">
        <v>22440</v>
      </c>
      <c r="V12" s="7">
        <f t="shared" si="8"/>
        <v>49368</v>
      </c>
      <c r="W12" s="7">
        <f t="shared" si="9"/>
        <v>14909.1</v>
      </c>
      <c r="X12" s="7">
        <f t="shared" si="10"/>
        <v>771325.6</v>
      </c>
      <c r="Y12" s="70">
        <f t="shared" si="11"/>
        <v>292332.40000000002</v>
      </c>
      <c r="Z12" s="67">
        <f t="shared" si="12"/>
        <v>568864.80000000005</v>
      </c>
      <c r="AA12" s="67">
        <f t="shared" si="13"/>
        <v>118513.5</v>
      </c>
      <c r="AB12" s="71">
        <f t="shared" si="14"/>
        <v>3531702.1</v>
      </c>
      <c r="AC12" s="71">
        <f t="shared" si="15"/>
        <v>2223822.2000000002</v>
      </c>
      <c r="AD12" s="71">
        <f t="shared" si="16"/>
        <v>1307879.8999999999</v>
      </c>
      <c r="AE12" s="78">
        <f t="shared" si="17"/>
        <v>5050500</v>
      </c>
      <c r="AF12" s="79">
        <v>3636600</v>
      </c>
      <c r="AG12" s="79">
        <v>1413900</v>
      </c>
      <c r="AH12" s="72">
        <f t="shared" si="18"/>
        <v>-1518797.9</v>
      </c>
    </row>
    <row r="13" spans="1:34" hidden="1" x14ac:dyDescent="0.25">
      <c r="A13" s="59">
        <v>108</v>
      </c>
      <c r="B13" s="73" t="s">
        <v>57</v>
      </c>
      <c r="C13" s="74">
        <v>1353.67</v>
      </c>
      <c r="D13" s="75">
        <v>6487.67</v>
      </c>
      <c r="E13" s="62">
        <f t="shared" si="0"/>
        <v>7841.34</v>
      </c>
      <c r="F13" s="63">
        <v>1.1200000000000001</v>
      </c>
      <c r="G13" s="76">
        <f t="shared" si="1"/>
        <v>8782.2999999999993</v>
      </c>
      <c r="H13" s="77">
        <v>1980</v>
      </c>
      <c r="I13" s="63">
        <v>1</v>
      </c>
      <c r="J13" s="63">
        <v>1.1000000000000001</v>
      </c>
      <c r="K13" s="65">
        <f t="shared" si="2"/>
        <v>4.8791000000000002</v>
      </c>
      <c r="L13" s="65">
        <v>3</v>
      </c>
      <c r="M13" s="65">
        <f t="shared" si="3"/>
        <v>1.8791</v>
      </c>
      <c r="N13" s="66">
        <f t="shared" si="4"/>
        <v>19796</v>
      </c>
      <c r="O13" s="64">
        <v>1.8</v>
      </c>
      <c r="P13" s="7">
        <v>2.2000000000000002</v>
      </c>
      <c r="Q13" s="64">
        <v>1.302</v>
      </c>
      <c r="R13" s="67">
        <f t="shared" si="5"/>
        <v>1224799.1000000001</v>
      </c>
      <c r="S13" s="68">
        <f t="shared" si="6"/>
        <v>5975917.2999999998</v>
      </c>
      <c r="T13" s="69">
        <f t="shared" si="7"/>
        <v>0.88700000000000001</v>
      </c>
      <c r="U13" s="7">
        <v>22440</v>
      </c>
      <c r="V13" s="7">
        <f t="shared" si="8"/>
        <v>49368</v>
      </c>
      <c r="W13" s="7">
        <f t="shared" si="9"/>
        <v>14909.1</v>
      </c>
      <c r="X13" s="7">
        <f t="shared" si="10"/>
        <v>771325.6</v>
      </c>
      <c r="Y13" s="70">
        <f t="shared" si="11"/>
        <v>684165.8</v>
      </c>
      <c r="Z13" s="67">
        <f t="shared" si="12"/>
        <v>1332016.6000000001</v>
      </c>
      <c r="AA13" s="67">
        <f t="shared" si="13"/>
        <v>277503.5</v>
      </c>
      <c r="AB13" s="71">
        <f t="shared" si="14"/>
        <v>8269603.2000000002</v>
      </c>
      <c r="AC13" s="71">
        <f t="shared" si="15"/>
        <v>5207157</v>
      </c>
      <c r="AD13" s="71">
        <f t="shared" si="16"/>
        <v>3062446.2</v>
      </c>
      <c r="AE13" s="78">
        <f t="shared" si="17"/>
        <v>6829800</v>
      </c>
      <c r="AF13" s="79">
        <v>4917800</v>
      </c>
      <c r="AG13" s="79">
        <v>1912000</v>
      </c>
      <c r="AH13" s="72">
        <f t="shared" si="18"/>
        <v>1439803.2</v>
      </c>
    </row>
    <row r="14" spans="1:34" hidden="1" x14ac:dyDescent="0.25">
      <c r="A14" s="59">
        <v>109</v>
      </c>
      <c r="B14" s="73" t="s">
        <v>58</v>
      </c>
      <c r="C14" s="74">
        <v>1129.33</v>
      </c>
      <c r="D14" s="75">
        <v>5054.67</v>
      </c>
      <c r="E14" s="62">
        <f t="shared" si="0"/>
        <v>6184</v>
      </c>
      <c r="F14" s="63">
        <v>1.1200000000000001</v>
      </c>
      <c r="G14" s="76">
        <f t="shared" si="1"/>
        <v>6926.08</v>
      </c>
      <c r="H14" s="77">
        <v>1980</v>
      </c>
      <c r="I14" s="63">
        <v>1</v>
      </c>
      <c r="J14" s="63">
        <v>1.1000000000000001</v>
      </c>
      <c r="K14" s="65">
        <f t="shared" si="2"/>
        <v>3.8477999999999999</v>
      </c>
      <c r="L14" s="65">
        <v>3</v>
      </c>
      <c r="M14" s="65">
        <f t="shared" si="3"/>
        <v>0.8478</v>
      </c>
      <c r="N14" s="66">
        <f t="shared" si="4"/>
        <v>19796</v>
      </c>
      <c r="O14" s="64">
        <v>1.8</v>
      </c>
      <c r="P14" s="7">
        <v>2.2000000000000002</v>
      </c>
      <c r="Q14" s="64">
        <v>1.302</v>
      </c>
      <c r="R14" s="67">
        <f t="shared" si="5"/>
        <v>1224799.1000000001</v>
      </c>
      <c r="S14" s="68">
        <f t="shared" si="6"/>
        <v>4712782</v>
      </c>
      <c r="T14" s="69">
        <f t="shared" si="7"/>
        <v>0.7</v>
      </c>
      <c r="U14" s="7">
        <v>22440</v>
      </c>
      <c r="V14" s="7">
        <f t="shared" si="8"/>
        <v>49368</v>
      </c>
      <c r="W14" s="7">
        <f t="shared" si="9"/>
        <v>14909.1</v>
      </c>
      <c r="X14" s="7">
        <f t="shared" si="10"/>
        <v>771325.6</v>
      </c>
      <c r="Y14" s="70">
        <f t="shared" si="11"/>
        <v>539927.9</v>
      </c>
      <c r="Z14" s="67">
        <f t="shared" si="12"/>
        <v>1050542</v>
      </c>
      <c r="AA14" s="67">
        <f t="shared" si="13"/>
        <v>218862.9</v>
      </c>
      <c r="AB14" s="71">
        <f t="shared" si="14"/>
        <v>6522114.7999999998</v>
      </c>
      <c r="AC14" s="71">
        <f t="shared" si="15"/>
        <v>4106808.3</v>
      </c>
      <c r="AD14" s="71">
        <f t="shared" si="16"/>
        <v>2415306.5</v>
      </c>
      <c r="AE14" s="78">
        <f t="shared" si="17"/>
        <v>6829800</v>
      </c>
      <c r="AF14" s="79">
        <v>4917800</v>
      </c>
      <c r="AG14" s="79">
        <v>1912000</v>
      </c>
      <c r="AH14" s="72">
        <f t="shared" si="18"/>
        <v>-307685.2</v>
      </c>
    </row>
    <row r="15" spans="1:34" hidden="1" x14ac:dyDescent="0.25">
      <c r="A15" s="59">
        <v>110</v>
      </c>
      <c r="B15" s="73" t="s">
        <v>59</v>
      </c>
      <c r="C15" s="74">
        <v>15046.67</v>
      </c>
      <c r="D15" s="75">
        <v>50663.67</v>
      </c>
      <c r="E15" s="62">
        <f t="shared" si="0"/>
        <v>65710.34</v>
      </c>
      <c r="F15" s="63">
        <v>1.1200000000000001</v>
      </c>
      <c r="G15" s="76">
        <f t="shared" si="1"/>
        <v>73595.58</v>
      </c>
      <c r="H15" s="77">
        <v>1980</v>
      </c>
      <c r="I15" s="63">
        <v>1</v>
      </c>
      <c r="J15" s="63">
        <v>1.1000000000000001</v>
      </c>
      <c r="K15" s="65">
        <f t="shared" si="2"/>
        <v>40.886400000000002</v>
      </c>
      <c r="L15" s="65">
        <v>18</v>
      </c>
      <c r="M15" s="65">
        <f t="shared" si="3"/>
        <v>22.886399999999998</v>
      </c>
      <c r="N15" s="66">
        <f t="shared" si="4"/>
        <v>19796</v>
      </c>
      <c r="O15" s="64">
        <v>1.8</v>
      </c>
      <c r="P15" s="7">
        <v>2.2000000000000002</v>
      </c>
      <c r="Q15" s="64">
        <v>1.302</v>
      </c>
      <c r="R15" s="67">
        <f t="shared" si="5"/>
        <v>1224799.1000000001</v>
      </c>
      <c r="S15" s="68">
        <f t="shared" si="6"/>
        <v>50077625.899999999</v>
      </c>
      <c r="T15" s="69">
        <f t="shared" si="7"/>
        <v>7.4340000000000002</v>
      </c>
      <c r="U15" s="7">
        <v>22440</v>
      </c>
      <c r="V15" s="7">
        <f t="shared" si="8"/>
        <v>49368</v>
      </c>
      <c r="W15" s="7">
        <f t="shared" si="9"/>
        <v>14909.1</v>
      </c>
      <c r="X15" s="7">
        <f t="shared" si="10"/>
        <v>771325.6</v>
      </c>
      <c r="Y15" s="70">
        <f t="shared" si="11"/>
        <v>5734034.5</v>
      </c>
      <c r="Z15" s="67">
        <f t="shared" si="12"/>
        <v>11162332.1</v>
      </c>
      <c r="AA15" s="67">
        <f t="shared" si="13"/>
        <v>2325485.9</v>
      </c>
      <c r="AB15" s="71">
        <f t="shared" si="14"/>
        <v>69299478.400000006</v>
      </c>
      <c r="AC15" s="71">
        <f t="shared" si="15"/>
        <v>43636103.5</v>
      </c>
      <c r="AD15" s="71">
        <f t="shared" si="16"/>
        <v>25663374.899999999</v>
      </c>
      <c r="AE15" s="78">
        <f t="shared" si="17"/>
        <v>42239900</v>
      </c>
      <c r="AF15" s="79">
        <v>30415100</v>
      </c>
      <c r="AG15" s="79">
        <v>11824800</v>
      </c>
      <c r="AH15" s="72">
        <f t="shared" si="18"/>
        <v>27059578.399999999</v>
      </c>
    </row>
    <row r="16" spans="1:34" hidden="1" x14ac:dyDescent="0.25">
      <c r="A16" s="59">
        <v>111</v>
      </c>
      <c r="B16" s="73" t="s">
        <v>60</v>
      </c>
      <c r="C16" s="74">
        <v>1355</v>
      </c>
      <c r="D16" s="75">
        <v>10473</v>
      </c>
      <c r="E16" s="62">
        <f t="shared" si="0"/>
        <v>11828</v>
      </c>
      <c r="F16" s="63">
        <v>1.1200000000000001</v>
      </c>
      <c r="G16" s="76">
        <f t="shared" si="1"/>
        <v>13247.36</v>
      </c>
      <c r="H16" s="77">
        <v>1980</v>
      </c>
      <c r="I16" s="63">
        <v>1</v>
      </c>
      <c r="J16" s="63">
        <v>1.1000000000000001</v>
      </c>
      <c r="K16" s="65">
        <f t="shared" si="2"/>
        <v>7.3596000000000004</v>
      </c>
      <c r="L16" s="65">
        <v>4</v>
      </c>
      <c r="M16" s="65">
        <f t="shared" si="3"/>
        <v>3.3595999999999999</v>
      </c>
      <c r="N16" s="66">
        <f t="shared" si="4"/>
        <v>19796</v>
      </c>
      <c r="O16" s="64">
        <v>1.8</v>
      </c>
      <c r="P16" s="7">
        <v>2.2000000000000002</v>
      </c>
      <c r="Q16" s="64">
        <v>1.302</v>
      </c>
      <c r="R16" s="67">
        <f t="shared" si="5"/>
        <v>1224799.1000000001</v>
      </c>
      <c r="S16" s="68">
        <f t="shared" si="6"/>
        <v>9014031.5</v>
      </c>
      <c r="T16" s="69">
        <f t="shared" si="7"/>
        <v>1.3380000000000001</v>
      </c>
      <c r="U16" s="7">
        <v>22440</v>
      </c>
      <c r="V16" s="7">
        <f t="shared" si="8"/>
        <v>49368</v>
      </c>
      <c r="W16" s="7">
        <f t="shared" si="9"/>
        <v>14909.1</v>
      </c>
      <c r="X16" s="7">
        <f t="shared" si="10"/>
        <v>771325.6</v>
      </c>
      <c r="Y16" s="70">
        <f t="shared" si="11"/>
        <v>1032033.7</v>
      </c>
      <c r="Z16" s="67">
        <f t="shared" si="12"/>
        <v>2009213</v>
      </c>
      <c r="AA16" s="67">
        <f t="shared" si="13"/>
        <v>418586</v>
      </c>
      <c r="AB16" s="71">
        <f t="shared" si="14"/>
        <v>12473864.199999999</v>
      </c>
      <c r="AC16" s="71">
        <f t="shared" si="15"/>
        <v>7854472.2000000002</v>
      </c>
      <c r="AD16" s="71">
        <f t="shared" si="16"/>
        <v>4619392</v>
      </c>
      <c r="AE16" s="78">
        <f t="shared" si="17"/>
        <v>6829800</v>
      </c>
      <c r="AF16" s="79">
        <v>4917800</v>
      </c>
      <c r="AG16" s="79">
        <v>1912000</v>
      </c>
      <c r="AH16" s="72">
        <f t="shared" si="18"/>
        <v>5644064.2000000002</v>
      </c>
    </row>
    <row r="17" spans="1:34" hidden="1" x14ac:dyDescent="0.25">
      <c r="A17" s="59">
        <v>112</v>
      </c>
      <c r="B17" s="73" t="s">
        <v>61</v>
      </c>
      <c r="C17" s="74">
        <v>3534.33</v>
      </c>
      <c r="D17" s="75">
        <v>16712.669999999998</v>
      </c>
      <c r="E17" s="62">
        <f t="shared" si="0"/>
        <v>20247</v>
      </c>
      <c r="F17" s="63">
        <v>1.1200000000000001</v>
      </c>
      <c r="G17" s="76">
        <f t="shared" si="1"/>
        <v>22676.639999999999</v>
      </c>
      <c r="H17" s="77">
        <v>1980</v>
      </c>
      <c r="I17" s="63">
        <v>1</v>
      </c>
      <c r="J17" s="63">
        <v>1.1000000000000001</v>
      </c>
      <c r="K17" s="65">
        <f t="shared" si="2"/>
        <v>12.598100000000001</v>
      </c>
      <c r="L17" s="65">
        <v>5</v>
      </c>
      <c r="M17" s="65">
        <f t="shared" si="3"/>
        <v>7.5980999999999996</v>
      </c>
      <c r="N17" s="66">
        <f t="shared" si="4"/>
        <v>19796</v>
      </c>
      <c r="O17" s="64">
        <v>1.8</v>
      </c>
      <c r="P17" s="7">
        <v>2.2000000000000002</v>
      </c>
      <c r="Q17" s="64">
        <v>1.302</v>
      </c>
      <c r="R17" s="67">
        <f t="shared" si="5"/>
        <v>1224799.1000000001</v>
      </c>
      <c r="S17" s="68">
        <f t="shared" si="6"/>
        <v>15430141.5</v>
      </c>
      <c r="T17" s="69">
        <f t="shared" si="7"/>
        <v>2.2909999999999999</v>
      </c>
      <c r="U17" s="7">
        <v>22440</v>
      </c>
      <c r="V17" s="7">
        <f t="shared" si="8"/>
        <v>49368</v>
      </c>
      <c r="W17" s="7">
        <f t="shared" si="9"/>
        <v>14909.1</v>
      </c>
      <c r="X17" s="7">
        <f t="shared" si="10"/>
        <v>771325.6</v>
      </c>
      <c r="Y17" s="70">
        <f t="shared" si="11"/>
        <v>1767106.9</v>
      </c>
      <c r="Z17" s="67">
        <f t="shared" si="12"/>
        <v>3439449.7</v>
      </c>
      <c r="AA17" s="67">
        <f t="shared" si="13"/>
        <v>716552</v>
      </c>
      <c r="AB17" s="71">
        <f t="shared" si="14"/>
        <v>21353250.100000001</v>
      </c>
      <c r="AC17" s="71">
        <f t="shared" si="15"/>
        <v>13445593.699999999</v>
      </c>
      <c r="AD17" s="71">
        <f t="shared" si="16"/>
        <v>7907656.4000000004</v>
      </c>
      <c r="AE17" s="78">
        <f t="shared" si="17"/>
        <v>13307000</v>
      </c>
      <c r="AF17" s="79">
        <v>9581800</v>
      </c>
      <c r="AG17" s="79">
        <v>3725200</v>
      </c>
      <c r="AH17" s="72">
        <f t="shared" si="18"/>
        <v>8046250.0999999996</v>
      </c>
    </row>
    <row r="18" spans="1:34" hidden="1" x14ac:dyDescent="0.25">
      <c r="A18" s="59">
        <v>113</v>
      </c>
      <c r="B18" s="73" t="s">
        <v>62</v>
      </c>
      <c r="C18" s="74">
        <v>1264</v>
      </c>
      <c r="D18" s="75">
        <v>5309.67</v>
      </c>
      <c r="E18" s="62">
        <f t="shared" si="0"/>
        <v>6573.67</v>
      </c>
      <c r="F18" s="63">
        <v>1.1200000000000001</v>
      </c>
      <c r="G18" s="76">
        <f t="shared" si="1"/>
        <v>7362.51</v>
      </c>
      <c r="H18" s="77">
        <v>1980</v>
      </c>
      <c r="I18" s="63">
        <v>1</v>
      </c>
      <c r="J18" s="63">
        <v>1.1000000000000001</v>
      </c>
      <c r="K18" s="65">
        <f t="shared" si="2"/>
        <v>4.0903</v>
      </c>
      <c r="L18" s="65">
        <v>3</v>
      </c>
      <c r="M18" s="65">
        <f t="shared" si="3"/>
        <v>1.0903</v>
      </c>
      <c r="N18" s="66">
        <f t="shared" si="4"/>
        <v>19796</v>
      </c>
      <c r="O18" s="64">
        <v>1.8</v>
      </c>
      <c r="P18" s="7">
        <v>2.2000000000000002</v>
      </c>
      <c r="Q18" s="64">
        <v>1.302</v>
      </c>
      <c r="R18" s="67">
        <f t="shared" si="5"/>
        <v>1224799.1000000001</v>
      </c>
      <c r="S18" s="68">
        <f t="shared" si="6"/>
        <v>5009795.8</v>
      </c>
      <c r="T18" s="69">
        <f t="shared" si="7"/>
        <v>0.74399999999999999</v>
      </c>
      <c r="U18" s="7">
        <v>22440</v>
      </c>
      <c r="V18" s="7">
        <f t="shared" si="8"/>
        <v>49368</v>
      </c>
      <c r="W18" s="7">
        <f t="shared" si="9"/>
        <v>14909.1</v>
      </c>
      <c r="X18" s="7">
        <f t="shared" si="10"/>
        <v>771325.6</v>
      </c>
      <c r="Y18" s="70">
        <f t="shared" si="11"/>
        <v>573866.19999999995</v>
      </c>
      <c r="Z18" s="67">
        <f t="shared" si="12"/>
        <v>1116732.3999999999</v>
      </c>
      <c r="AA18" s="67">
        <f t="shared" si="13"/>
        <v>232652.6</v>
      </c>
      <c r="AB18" s="71">
        <f t="shared" si="14"/>
        <v>6933047</v>
      </c>
      <c r="AC18" s="71">
        <f t="shared" si="15"/>
        <v>4365561.8</v>
      </c>
      <c r="AD18" s="71">
        <f t="shared" si="16"/>
        <v>2567485.2000000002</v>
      </c>
      <c r="AE18" s="78">
        <f t="shared" si="17"/>
        <v>6829800</v>
      </c>
      <c r="AF18" s="79">
        <v>4917800</v>
      </c>
      <c r="AG18" s="79">
        <v>1912000</v>
      </c>
      <c r="AH18" s="72">
        <f t="shared" si="18"/>
        <v>103247</v>
      </c>
    </row>
    <row r="19" spans="1:34" s="80" customFormat="1" hidden="1" x14ac:dyDescent="0.25">
      <c r="A19" s="81">
        <v>114</v>
      </c>
      <c r="B19" s="82" t="s">
        <v>63</v>
      </c>
      <c r="C19" s="83">
        <v>723.33</v>
      </c>
      <c r="D19" s="84">
        <v>2537.67</v>
      </c>
      <c r="E19" s="85">
        <f t="shared" si="0"/>
        <v>3261</v>
      </c>
      <c r="F19" s="63">
        <v>1.1200000000000001</v>
      </c>
      <c r="G19" s="86">
        <f t="shared" si="1"/>
        <v>3652.32</v>
      </c>
      <c r="H19" s="87">
        <v>1980</v>
      </c>
      <c r="I19" s="88">
        <v>1</v>
      </c>
      <c r="J19" s="88">
        <v>1.1000000000000001</v>
      </c>
      <c r="K19" s="89">
        <f t="shared" si="2"/>
        <v>2.0291000000000001</v>
      </c>
      <c r="L19" s="89">
        <v>3</v>
      </c>
      <c r="M19" s="65">
        <f t="shared" si="3"/>
        <v>-0.97089999999999999</v>
      </c>
      <c r="N19" s="66">
        <f t="shared" si="4"/>
        <v>19796</v>
      </c>
      <c r="O19" s="90">
        <v>1.8</v>
      </c>
      <c r="P19" s="91">
        <v>2.5</v>
      </c>
      <c r="Q19" s="90">
        <v>1.302</v>
      </c>
      <c r="R19" s="91">
        <f t="shared" si="5"/>
        <v>1391817.2</v>
      </c>
      <c r="S19" s="91">
        <f t="shared" si="6"/>
        <v>2824136.3</v>
      </c>
      <c r="T19" s="92">
        <f t="shared" si="7"/>
        <v>0.36899999999999999</v>
      </c>
      <c r="U19" s="7">
        <v>22440</v>
      </c>
      <c r="V19" s="93">
        <f t="shared" si="8"/>
        <v>56100</v>
      </c>
      <c r="W19" s="91">
        <f t="shared" si="9"/>
        <v>16942.2</v>
      </c>
      <c r="X19" s="93">
        <f t="shared" si="10"/>
        <v>876506.4</v>
      </c>
      <c r="Y19" s="93">
        <f t="shared" si="11"/>
        <v>323430.90000000002</v>
      </c>
      <c r="Z19" s="93">
        <f t="shared" si="12"/>
        <v>629513.4</v>
      </c>
      <c r="AA19" s="93">
        <f t="shared" si="13"/>
        <v>131148.6</v>
      </c>
      <c r="AB19" s="94">
        <f t="shared" si="14"/>
        <v>3908229.2</v>
      </c>
      <c r="AC19" s="94">
        <f t="shared" si="15"/>
        <v>2460911.7000000002</v>
      </c>
      <c r="AD19" s="94">
        <f t="shared" si="16"/>
        <v>1447317.5</v>
      </c>
      <c r="AE19" s="78">
        <f t="shared" si="17"/>
        <v>7761066.5</v>
      </c>
      <c r="AF19" s="84">
        <v>5588409.1600000001</v>
      </c>
      <c r="AG19" s="84">
        <v>2172657.37</v>
      </c>
      <c r="AH19" s="72">
        <f t="shared" si="18"/>
        <v>-3852837.3</v>
      </c>
    </row>
    <row r="20" spans="1:34" hidden="1" x14ac:dyDescent="0.25">
      <c r="A20" s="59">
        <v>114</v>
      </c>
      <c r="B20" s="95" t="s">
        <v>64</v>
      </c>
      <c r="C20" s="74"/>
      <c r="D20" s="75"/>
      <c r="E20" s="62">
        <f t="shared" si="0"/>
        <v>0</v>
      </c>
      <c r="F20" s="63">
        <v>1.1200000000000001</v>
      </c>
      <c r="G20" s="76">
        <f t="shared" si="1"/>
        <v>0</v>
      </c>
      <c r="H20" s="77">
        <v>1980</v>
      </c>
      <c r="I20" s="63">
        <v>1</v>
      </c>
      <c r="J20" s="63">
        <v>1.1000000000000001</v>
      </c>
      <c r="K20" s="65">
        <f t="shared" si="2"/>
        <v>0</v>
      </c>
      <c r="L20" s="65">
        <v>1</v>
      </c>
      <c r="M20" s="65"/>
      <c r="N20" s="66">
        <f t="shared" si="4"/>
        <v>19796</v>
      </c>
      <c r="O20" s="64">
        <v>1.8</v>
      </c>
      <c r="P20" s="7">
        <v>2.5</v>
      </c>
      <c r="Q20" s="64">
        <v>1.302</v>
      </c>
      <c r="R20" s="67">
        <f t="shared" si="5"/>
        <v>1391817.2</v>
      </c>
      <c r="S20" s="68">
        <f t="shared" si="6"/>
        <v>0</v>
      </c>
      <c r="T20" s="69">
        <f t="shared" si="7"/>
        <v>0</v>
      </c>
      <c r="U20" s="7">
        <v>22440</v>
      </c>
      <c r="V20" s="7">
        <f t="shared" si="8"/>
        <v>56100</v>
      </c>
      <c r="W20" s="7">
        <f t="shared" si="9"/>
        <v>16942.2</v>
      </c>
      <c r="X20" s="7">
        <f t="shared" si="10"/>
        <v>876506.4</v>
      </c>
      <c r="Y20" s="70">
        <f t="shared" si="11"/>
        <v>0</v>
      </c>
      <c r="Z20" s="67">
        <f t="shared" si="12"/>
        <v>0</v>
      </c>
      <c r="AA20" s="67">
        <f t="shared" si="13"/>
        <v>0</v>
      </c>
      <c r="AB20" s="96">
        <f t="shared" si="14"/>
        <v>0</v>
      </c>
      <c r="AC20" s="96">
        <f t="shared" si="15"/>
        <v>0</v>
      </c>
      <c r="AD20" s="96">
        <f t="shared" si="16"/>
        <v>0</v>
      </c>
      <c r="AE20" s="97">
        <f t="shared" si="17"/>
        <v>17939.900000000001</v>
      </c>
      <c r="AF20" s="98">
        <v>13046.93</v>
      </c>
      <c r="AG20" s="98">
        <v>4892.9799999999996</v>
      </c>
      <c r="AH20" s="99">
        <f t="shared" si="18"/>
        <v>-17939.900000000001</v>
      </c>
    </row>
    <row r="21" spans="1:34" hidden="1" x14ac:dyDescent="0.25">
      <c r="A21" s="59">
        <v>114</v>
      </c>
      <c r="B21" s="95" t="s">
        <v>65</v>
      </c>
      <c r="C21" s="74"/>
      <c r="D21" s="75"/>
      <c r="E21" s="62">
        <f t="shared" si="0"/>
        <v>0</v>
      </c>
      <c r="F21" s="63">
        <v>1.1200000000000001</v>
      </c>
      <c r="G21" s="76">
        <f t="shared" si="1"/>
        <v>0</v>
      </c>
      <c r="H21" s="77">
        <v>1980</v>
      </c>
      <c r="I21" s="63">
        <v>1</v>
      </c>
      <c r="J21" s="63">
        <v>1.1000000000000001</v>
      </c>
      <c r="K21" s="65">
        <f t="shared" si="2"/>
        <v>0</v>
      </c>
      <c r="L21" s="65">
        <v>1</v>
      </c>
      <c r="M21" s="65"/>
      <c r="N21" s="66">
        <f t="shared" si="4"/>
        <v>19796</v>
      </c>
      <c r="O21" s="64">
        <v>1.8</v>
      </c>
      <c r="P21" s="7">
        <v>2.5</v>
      </c>
      <c r="Q21" s="64">
        <v>1.302</v>
      </c>
      <c r="R21" s="67">
        <f t="shared" si="5"/>
        <v>1391817.2</v>
      </c>
      <c r="S21" s="68">
        <f t="shared" si="6"/>
        <v>0</v>
      </c>
      <c r="T21" s="69">
        <f t="shared" si="7"/>
        <v>0</v>
      </c>
      <c r="U21" s="7">
        <v>22440</v>
      </c>
      <c r="V21" s="7">
        <f t="shared" si="8"/>
        <v>56100</v>
      </c>
      <c r="W21" s="7">
        <f t="shared" si="9"/>
        <v>16942.2</v>
      </c>
      <c r="X21" s="7">
        <f t="shared" si="10"/>
        <v>876506.4</v>
      </c>
      <c r="Y21" s="70">
        <f t="shared" si="11"/>
        <v>0</v>
      </c>
      <c r="Z21" s="67">
        <f t="shared" si="12"/>
        <v>0</v>
      </c>
      <c r="AA21" s="67">
        <f t="shared" si="13"/>
        <v>0</v>
      </c>
      <c r="AB21" s="96">
        <f t="shared" si="14"/>
        <v>0</v>
      </c>
      <c r="AC21" s="96">
        <f t="shared" si="15"/>
        <v>0</v>
      </c>
      <c r="AD21" s="96">
        <f t="shared" si="16"/>
        <v>0</v>
      </c>
      <c r="AE21" s="97">
        <f t="shared" si="17"/>
        <v>0</v>
      </c>
      <c r="AF21" s="98">
        <v>0</v>
      </c>
      <c r="AG21" s="98">
        <v>0</v>
      </c>
      <c r="AH21" s="99">
        <f t="shared" si="18"/>
        <v>0</v>
      </c>
    </row>
    <row r="22" spans="1:34" hidden="1" x14ac:dyDescent="0.25">
      <c r="A22" s="59">
        <v>114</v>
      </c>
      <c r="B22" s="73" t="s">
        <v>66</v>
      </c>
      <c r="C22" s="74">
        <v>10.67</v>
      </c>
      <c r="D22" s="75"/>
      <c r="E22" s="62">
        <f t="shared" si="0"/>
        <v>10.67</v>
      </c>
      <c r="F22" s="63">
        <v>1.1200000000000001</v>
      </c>
      <c r="G22" s="76">
        <f t="shared" si="1"/>
        <v>11.95</v>
      </c>
      <c r="H22" s="77">
        <v>1980</v>
      </c>
      <c r="I22" s="63">
        <v>1</v>
      </c>
      <c r="J22" s="63">
        <v>1.1000000000000001</v>
      </c>
      <c r="K22" s="65">
        <f t="shared" si="2"/>
        <v>6.6E-3</v>
      </c>
      <c r="L22" s="65">
        <v>1</v>
      </c>
      <c r="M22" s="65"/>
      <c r="N22" s="66">
        <f t="shared" si="4"/>
        <v>19796</v>
      </c>
      <c r="O22" s="64">
        <v>1.8</v>
      </c>
      <c r="P22" s="7">
        <v>2.5</v>
      </c>
      <c r="Q22" s="64">
        <v>1.302</v>
      </c>
      <c r="R22" s="67">
        <f t="shared" si="5"/>
        <v>1391817.2</v>
      </c>
      <c r="S22" s="68">
        <f t="shared" si="6"/>
        <v>9186</v>
      </c>
      <c r="T22" s="69">
        <f t="shared" si="7"/>
        <v>1E-3</v>
      </c>
      <c r="U22" s="7">
        <v>22440</v>
      </c>
      <c r="V22" s="7">
        <f t="shared" si="8"/>
        <v>56100</v>
      </c>
      <c r="W22" s="7">
        <f t="shared" si="9"/>
        <v>16942.2</v>
      </c>
      <c r="X22" s="7">
        <f t="shared" si="10"/>
        <v>876506.4</v>
      </c>
      <c r="Y22" s="70">
        <f t="shared" si="11"/>
        <v>876.5</v>
      </c>
      <c r="Z22" s="67">
        <f t="shared" si="12"/>
        <v>2012.5</v>
      </c>
      <c r="AA22" s="67">
        <f t="shared" si="13"/>
        <v>419.3</v>
      </c>
      <c r="AB22" s="71">
        <f t="shared" si="14"/>
        <v>12494.3</v>
      </c>
      <c r="AC22" s="71">
        <f t="shared" si="15"/>
        <v>7867.3</v>
      </c>
      <c r="AD22" s="71">
        <f t="shared" si="16"/>
        <v>4627</v>
      </c>
      <c r="AE22" s="78">
        <f t="shared" si="17"/>
        <v>21926.6</v>
      </c>
      <c r="AF22" s="79">
        <v>15946.25</v>
      </c>
      <c r="AG22" s="79">
        <v>5980.3</v>
      </c>
      <c r="AH22" s="72">
        <f t="shared" si="18"/>
        <v>-9432.2999999999993</v>
      </c>
    </row>
    <row r="23" spans="1:34" hidden="1" x14ac:dyDescent="0.25">
      <c r="A23" s="59">
        <v>114</v>
      </c>
      <c r="B23" s="73" t="s">
        <v>67</v>
      </c>
      <c r="C23" s="74">
        <v>21</v>
      </c>
      <c r="D23" s="75"/>
      <c r="E23" s="62">
        <f t="shared" si="0"/>
        <v>21</v>
      </c>
      <c r="F23" s="63">
        <v>1.1200000000000001</v>
      </c>
      <c r="G23" s="76">
        <f t="shared" si="1"/>
        <v>23.52</v>
      </c>
      <c r="H23" s="77">
        <v>1980</v>
      </c>
      <c r="I23" s="63">
        <v>1</v>
      </c>
      <c r="J23" s="63">
        <v>1.1000000000000001</v>
      </c>
      <c r="K23" s="65">
        <f t="shared" si="2"/>
        <v>1.3100000000000001E-2</v>
      </c>
      <c r="L23" s="65">
        <v>1</v>
      </c>
      <c r="M23" s="65"/>
      <c r="N23" s="66">
        <f t="shared" si="4"/>
        <v>19796</v>
      </c>
      <c r="O23" s="64">
        <v>1.8</v>
      </c>
      <c r="P23" s="7">
        <v>2.5</v>
      </c>
      <c r="Q23" s="64">
        <v>1.302</v>
      </c>
      <c r="R23" s="67">
        <f t="shared" si="5"/>
        <v>1391817.2</v>
      </c>
      <c r="S23" s="68">
        <f t="shared" si="6"/>
        <v>18232.8</v>
      </c>
      <c r="T23" s="69">
        <f t="shared" si="7"/>
        <v>2E-3</v>
      </c>
      <c r="U23" s="7">
        <v>22440</v>
      </c>
      <c r="V23" s="7">
        <f t="shared" si="8"/>
        <v>56100</v>
      </c>
      <c r="W23" s="7">
        <f t="shared" si="9"/>
        <v>16942.2</v>
      </c>
      <c r="X23" s="7">
        <f t="shared" si="10"/>
        <v>876506.4</v>
      </c>
      <c r="Y23" s="70">
        <f t="shared" si="11"/>
        <v>1753</v>
      </c>
      <c r="Z23" s="67">
        <f t="shared" si="12"/>
        <v>3997.2</v>
      </c>
      <c r="AA23" s="67">
        <f t="shared" si="13"/>
        <v>832.7</v>
      </c>
      <c r="AB23" s="71">
        <f t="shared" si="14"/>
        <v>24815.7</v>
      </c>
      <c r="AC23" s="71">
        <f t="shared" si="15"/>
        <v>15625.8</v>
      </c>
      <c r="AD23" s="71">
        <f t="shared" si="16"/>
        <v>9189.9</v>
      </c>
      <c r="AE23" s="78">
        <f t="shared" si="17"/>
        <v>43853.1</v>
      </c>
      <c r="AF23" s="79">
        <v>31892.49</v>
      </c>
      <c r="AG23" s="79">
        <v>11960.61</v>
      </c>
      <c r="AH23" s="72">
        <f t="shared" si="18"/>
        <v>-19037.400000000001</v>
      </c>
    </row>
    <row r="24" spans="1:34" hidden="1" x14ac:dyDescent="0.25">
      <c r="A24" s="59">
        <v>114</v>
      </c>
      <c r="B24" s="73" t="s">
        <v>68</v>
      </c>
      <c r="C24" s="74">
        <v>14.33</v>
      </c>
      <c r="D24" s="75"/>
      <c r="E24" s="62">
        <f t="shared" si="0"/>
        <v>14.33</v>
      </c>
      <c r="F24" s="63">
        <v>1.1200000000000001</v>
      </c>
      <c r="G24" s="76">
        <f t="shared" si="1"/>
        <v>16.05</v>
      </c>
      <c r="H24" s="77">
        <v>1980</v>
      </c>
      <c r="I24" s="63">
        <v>1</v>
      </c>
      <c r="J24" s="63">
        <v>1.1000000000000001</v>
      </c>
      <c r="K24" s="65">
        <f t="shared" si="2"/>
        <v>8.8999999999999999E-3</v>
      </c>
      <c r="L24" s="65">
        <v>1</v>
      </c>
      <c r="M24" s="65"/>
      <c r="N24" s="66">
        <f t="shared" si="4"/>
        <v>19796</v>
      </c>
      <c r="O24" s="64">
        <v>1.8</v>
      </c>
      <c r="P24" s="7">
        <v>2.5</v>
      </c>
      <c r="Q24" s="64">
        <v>1.302</v>
      </c>
      <c r="R24" s="67">
        <f t="shared" si="5"/>
        <v>1391817.2</v>
      </c>
      <c r="S24" s="68">
        <f t="shared" si="6"/>
        <v>12387.2</v>
      </c>
      <c r="T24" s="69">
        <f t="shared" si="7"/>
        <v>2E-3</v>
      </c>
      <c r="U24" s="7">
        <v>22440</v>
      </c>
      <c r="V24" s="7">
        <f t="shared" si="8"/>
        <v>56100</v>
      </c>
      <c r="W24" s="7">
        <f t="shared" si="9"/>
        <v>16942.2</v>
      </c>
      <c r="X24" s="7">
        <f t="shared" si="10"/>
        <v>876506.4</v>
      </c>
      <c r="Y24" s="70">
        <f t="shared" si="11"/>
        <v>1753</v>
      </c>
      <c r="Z24" s="67">
        <f t="shared" si="12"/>
        <v>2828</v>
      </c>
      <c r="AA24" s="67">
        <f t="shared" si="13"/>
        <v>589.20000000000005</v>
      </c>
      <c r="AB24" s="71">
        <f t="shared" si="14"/>
        <v>17557.400000000001</v>
      </c>
      <c r="AC24" s="71">
        <f t="shared" si="15"/>
        <v>11055.4</v>
      </c>
      <c r="AD24" s="71">
        <f t="shared" si="16"/>
        <v>6502</v>
      </c>
      <c r="AE24" s="78">
        <f t="shared" si="17"/>
        <v>29899.8</v>
      </c>
      <c r="AF24" s="79">
        <v>21744.880000000001</v>
      </c>
      <c r="AG24" s="79">
        <v>8154.96</v>
      </c>
      <c r="AH24" s="72">
        <f t="shared" si="18"/>
        <v>-12342.4</v>
      </c>
    </row>
    <row r="25" spans="1:34" hidden="1" x14ac:dyDescent="0.25">
      <c r="A25" s="59">
        <v>114</v>
      </c>
      <c r="B25" s="73" t="s">
        <v>69</v>
      </c>
      <c r="C25" s="74">
        <v>9.33</v>
      </c>
      <c r="D25" s="75"/>
      <c r="E25" s="62">
        <f t="shared" si="0"/>
        <v>9.33</v>
      </c>
      <c r="F25" s="63">
        <v>1.1200000000000001</v>
      </c>
      <c r="G25" s="76">
        <f t="shared" si="1"/>
        <v>10.45</v>
      </c>
      <c r="H25" s="77">
        <v>1980</v>
      </c>
      <c r="I25" s="63">
        <v>1</v>
      </c>
      <c r="J25" s="63">
        <v>1.1000000000000001</v>
      </c>
      <c r="K25" s="65">
        <f t="shared" si="2"/>
        <v>5.7999999999999996E-3</v>
      </c>
      <c r="L25" s="65">
        <v>1</v>
      </c>
      <c r="M25" s="65"/>
      <c r="N25" s="66">
        <f t="shared" si="4"/>
        <v>19796</v>
      </c>
      <c r="O25" s="64">
        <v>1.8</v>
      </c>
      <c r="P25" s="7">
        <v>2.5</v>
      </c>
      <c r="Q25" s="64">
        <v>1.302</v>
      </c>
      <c r="R25" s="67">
        <f t="shared" si="5"/>
        <v>1391817.2</v>
      </c>
      <c r="S25" s="68">
        <f t="shared" si="6"/>
        <v>8072.5</v>
      </c>
      <c r="T25" s="69">
        <f t="shared" si="7"/>
        <v>1E-3</v>
      </c>
      <c r="U25" s="7">
        <v>22440</v>
      </c>
      <c r="V25" s="7">
        <f t="shared" si="8"/>
        <v>56100</v>
      </c>
      <c r="W25" s="7">
        <f t="shared" si="9"/>
        <v>16942.2</v>
      </c>
      <c r="X25" s="7">
        <f t="shared" si="10"/>
        <v>876506.4</v>
      </c>
      <c r="Y25" s="70">
        <f t="shared" si="11"/>
        <v>876.5</v>
      </c>
      <c r="Z25" s="67">
        <f t="shared" si="12"/>
        <v>1789.8</v>
      </c>
      <c r="AA25" s="67">
        <f t="shared" si="13"/>
        <v>372.9</v>
      </c>
      <c r="AB25" s="71">
        <f t="shared" si="14"/>
        <v>11111.7</v>
      </c>
      <c r="AC25" s="71">
        <f t="shared" si="15"/>
        <v>6996.8</v>
      </c>
      <c r="AD25" s="71">
        <f t="shared" si="16"/>
        <v>4114.8999999999996</v>
      </c>
      <c r="AE25" s="78">
        <f t="shared" si="17"/>
        <v>13953.3</v>
      </c>
      <c r="AF25" s="79">
        <v>10147.61</v>
      </c>
      <c r="AG25" s="79">
        <v>3805.65</v>
      </c>
      <c r="AH25" s="72">
        <f t="shared" si="18"/>
        <v>-2841.6</v>
      </c>
    </row>
    <row r="26" spans="1:34" s="100" customFormat="1" hidden="1" x14ac:dyDescent="0.25">
      <c r="A26" s="101">
        <v>115</v>
      </c>
      <c r="B26" s="82" t="s">
        <v>70</v>
      </c>
      <c r="C26" s="83">
        <v>285.67</v>
      </c>
      <c r="D26" s="84">
        <v>5075</v>
      </c>
      <c r="E26" s="85">
        <f t="shared" si="0"/>
        <v>5360.67</v>
      </c>
      <c r="F26" s="63">
        <v>1.1200000000000001</v>
      </c>
      <c r="G26" s="86">
        <f t="shared" si="1"/>
        <v>6003.95</v>
      </c>
      <c r="H26" s="87">
        <v>1980</v>
      </c>
      <c r="I26" s="88">
        <v>1</v>
      </c>
      <c r="J26" s="88">
        <v>1.1000000000000001</v>
      </c>
      <c r="K26" s="89">
        <f t="shared" si="2"/>
        <v>3.3355000000000001</v>
      </c>
      <c r="L26" s="89">
        <v>2</v>
      </c>
      <c r="M26" s="89">
        <f>K26-L26</f>
        <v>1.3354999999999999</v>
      </c>
      <c r="N26" s="66">
        <f t="shared" si="4"/>
        <v>19796</v>
      </c>
      <c r="O26" s="90">
        <v>1.8</v>
      </c>
      <c r="P26" s="91">
        <v>2.5</v>
      </c>
      <c r="Q26" s="90">
        <v>1.302</v>
      </c>
      <c r="R26" s="91">
        <f t="shared" si="5"/>
        <v>1391817.2</v>
      </c>
      <c r="S26" s="91">
        <f t="shared" si="6"/>
        <v>4642406.3</v>
      </c>
      <c r="T26" s="92">
        <f t="shared" si="7"/>
        <v>0.60599999999999998</v>
      </c>
      <c r="U26" s="7">
        <v>22440</v>
      </c>
      <c r="V26" s="93">
        <f t="shared" si="8"/>
        <v>56100</v>
      </c>
      <c r="W26" s="91">
        <f t="shared" si="9"/>
        <v>16942.2</v>
      </c>
      <c r="X26" s="93">
        <f t="shared" si="10"/>
        <v>876506.4</v>
      </c>
      <c r="Y26" s="93">
        <f t="shared" si="11"/>
        <v>531162.9</v>
      </c>
      <c r="Z26" s="93">
        <f t="shared" si="12"/>
        <v>1034713.8</v>
      </c>
      <c r="AA26" s="93">
        <f t="shared" si="13"/>
        <v>215565.4</v>
      </c>
      <c r="AB26" s="94">
        <f t="shared" si="14"/>
        <v>6423848.4000000004</v>
      </c>
      <c r="AC26" s="94">
        <f t="shared" si="15"/>
        <v>4044932.5</v>
      </c>
      <c r="AD26" s="94">
        <f t="shared" si="16"/>
        <v>2378915.9</v>
      </c>
      <c r="AE26" s="78">
        <f t="shared" si="17"/>
        <v>6514500</v>
      </c>
      <c r="AF26" s="102">
        <v>4696400</v>
      </c>
      <c r="AG26" s="102">
        <v>1818100</v>
      </c>
      <c r="AH26" s="72">
        <f t="shared" si="18"/>
        <v>-90651.6</v>
      </c>
    </row>
    <row r="27" spans="1:34" hidden="1" x14ac:dyDescent="0.25">
      <c r="A27" s="59">
        <v>115</v>
      </c>
      <c r="B27" s="73" t="s">
        <v>71</v>
      </c>
      <c r="C27" s="74">
        <v>188.33</v>
      </c>
      <c r="D27" s="75"/>
      <c r="E27" s="62">
        <f t="shared" si="0"/>
        <v>188.33</v>
      </c>
      <c r="F27" s="63">
        <v>1.1200000000000001</v>
      </c>
      <c r="G27" s="76">
        <f t="shared" si="1"/>
        <v>210.93</v>
      </c>
      <c r="H27" s="77">
        <v>1980</v>
      </c>
      <c r="I27" s="63">
        <v>1</v>
      </c>
      <c r="J27" s="63">
        <v>1.1000000000000001</v>
      </c>
      <c r="K27" s="65">
        <f t="shared" si="2"/>
        <v>0.1172</v>
      </c>
      <c r="L27" s="65">
        <v>1</v>
      </c>
      <c r="M27" s="65"/>
      <c r="N27" s="66">
        <f t="shared" si="4"/>
        <v>19796</v>
      </c>
      <c r="O27" s="64">
        <v>1.8</v>
      </c>
      <c r="P27" s="7">
        <v>2.5</v>
      </c>
      <c r="Q27" s="64">
        <v>1.302</v>
      </c>
      <c r="R27" s="67">
        <f t="shared" si="5"/>
        <v>1391817.2</v>
      </c>
      <c r="S27" s="68">
        <f t="shared" si="6"/>
        <v>163121</v>
      </c>
      <c r="T27" s="69">
        <f t="shared" si="7"/>
        <v>2.1000000000000001E-2</v>
      </c>
      <c r="U27" s="7">
        <v>22440</v>
      </c>
      <c r="V27" s="7">
        <f t="shared" si="8"/>
        <v>56100</v>
      </c>
      <c r="W27" s="7">
        <f t="shared" si="9"/>
        <v>16942.2</v>
      </c>
      <c r="X27" s="7">
        <f t="shared" si="10"/>
        <v>876506.4</v>
      </c>
      <c r="Y27" s="70">
        <f t="shared" si="11"/>
        <v>18406.599999999999</v>
      </c>
      <c r="Z27" s="67">
        <f t="shared" si="12"/>
        <v>36305.5</v>
      </c>
      <c r="AA27" s="67">
        <f t="shared" si="13"/>
        <v>7563.7</v>
      </c>
      <c r="AB27" s="71">
        <f t="shared" si="14"/>
        <v>225396.8</v>
      </c>
      <c r="AC27" s="71">
        <f t="shared" si="15"/>
        <v>141926.6</v>
      </c>
      <c r="AD27" s="71">
        <f t="shared" si="16"/>
        <v>83470.2</v>
      </c>
      <c r="AE27" s="78">
        <f t="shared" si="17"/>
        <v>438528.2</v>
      </c>
      <c r="AF27" s="79">
        <v>318922.84999999998</v>
      </c>
      <c r="AG27" s="79">
        <v>119605.3</v>
      </c>
      <c r="AH27" s="72">
        <f t="shared" si="18"/>
        <v>-213131.4</v>
      </c>
    </row>
    <row r="28" spans="1:34" hidden="1" x14ac:dyDescent="0.25">
      <c r="A28" s="59">
        <v>115</v>
      </c>
      <c r="B28" s="73" t="s">
        <v>72</v>
      </c>
      <c r="C28" s="74">
        <v>19</v>
      </c>
      <c r="D28" s="75"/>
      <c r="E28" s="62">
        <f t="shared" si="0"/>
        <v>19</v>
      </c>
      <c r="F28" s="63">
        <v>1.1200000000000001</v>
      </c>
      <c r="G28" s="76">
        <f t="shared" si="1"/>
        <v>21.28</v>
      </c>
      <c r="H28" s="77">
        <v>1980</v>
      </c>
      <c r="I28" s="63">
        <v>1</v>
      </c>
      <c r="J28" s="63">
        <v>1.1000000000000001</v>
      </c>
      <c r="K28" s="65">
        <f t="shared" si="2"/>
        <v>1.18E-2</v>
      </c>
      <c r="L28" s="65">
        <v>1</v>
      </c>
      <c r="M28" s="65"/>
      <c r="N28" s="66">
        <f t="shared" si="4"/>
        <v>19796</v>
      </c>
      <c r="O28" s="64">
        <v>1.8</v>
      </c>
      <c r="P28" s="7">
        <v>2.5</v>
      </c>
      <c r="Q28" s="64">
        <v>1.302</v>
      </c>
      <c r="R28" s="67">
        <f t="shared" si="5"/>
        <v>1391817.2</v>
      </c>
      <c r="S28" s="68">
        <f t="shared" si="6"/>
        <v>16423.400000000001</v>
      </c>
      <c r="T28" s="69">
        <f t="shared" si="7"/>
        <v>2E-3</v>
      </c>
      <c r="U28" s="7">
        <v>22440</v>
      </c>
      <c r="V28" s="7">
        <f t="shared" si="8"/>
        <v>56100</v>
      </c>
      <c r="W28" s="7">
        <f t="shared" si="9"/>
        <v>16942.2</v>
      </c>
      <c r="X28" s="7">
        <f t="shared" si="10"/>
        <v>876506.4</v>
      </c>
      <c r="Y28" s="70">
        <f t="shared" si="11"/>
        <v>1753</v>
      </c>
      <c r="Z28" s="67">
        <f t="shared" si="12"/>
        <v>3635.3</v>
      </c>
      <c r="AA28" s="67">
        <f t="shared" si="13"/>
        <v>757.4</v>
      </c>
      <c r="AB28" s="71">
        <f t="shared" si="14"/>
        <v>22569.1</v>
      </c>
      <c r="AC28" s="71">
        <f t="shared" si="15"/>
        <v>14211.2</v>
      </c>
      <c r="AD28" s="71">
        <f t="shared" si="16"/>
        <v>8357.9</v>
      </c>
      <c r="AE28" s="78">
        <f t="shared" si="17"/>
        <v>35879.599999999999</v>
      </c>
      <c r="AF28" s="79">
        <v>26093.69</v>
      </c>
      <c r="AG28" s="79">
        <v>9785.89</v>
      </c>
      <c r="AH28" s="72">
        <f t="shared" si="18"/>
        <v>-13310.5</v>
      </c>
    </row>
    <row r="29" spans="1:34" hidden="1" x14ac:dyDescent="0.25">
      <c r="A29" s="59">
        <v>115</v>
      </c>
      <c r="B29" s="73" t="s">
        <v>73</v>
      </c>
      <c r="C29" s="74">
        <v>88</v>
      </c>
      <c r="D29" s="75"/>
      <c r="E29" s="62">
        <f t="shared" si="0"/>
        <v>88</v>
      </c>
      <c r="F29" s="63">
        <v>1.1200000000000001</v>
      </c>
      <c r="G29" s="76">
        <f t="shared" si="1"/>
        <v>98.56</v>
      </c>
      <c r="H29" s="77">
        <v>1980</v>
      </c>
      <c r="I29" s="63">
        <v>1</v>
      </c>
      <c r="J29" s="63">
        <v>1.1000000000000001</v>
      </c>
      <c r="K29" s="65">
        <f t="shared" si="2"/>
        <v>5.4800000000000001E-2</v>
      </c>
      <c r="L29" s="65">
        <v>1</v>
      </c>
      <c r="M29" s="65"/>
      <c r="N29" s="66">
        <f t="shared" si="4"/>
        <v>19796</v>
      </c>
      <c r="O29" s="64">
        <v>1.8</v>
      </c>
      <c r="P29" s="7">
        <v>2.5</v>
      </c>
      <c r="Q29" s="64">
        <v>1.302</v>
      </c>
      <c r="R29" s="67">
        <f t="shared" si="5"/>
        <v>1391817.2</v>
      </c>
      <c r="S29" s="68">
        <f t="shared" si="6"/>
        <v>76271.600000000006</v>
      </c>
      <c r="T29" s="69">
        <f t="shared" si="7"/>
        <v>0.01</v>
      </c>
      <c r="U29" s="7">
        <v>22440</v>
      </c>
      <c r="V29" s="7">
        <f t="shared" si="8"/>
        <v>56100</v>
      </c>
      <c r="W29" s="7">
        <f t="shared" si="9"/>
        <v>16942.2</v>
      </c>
      <c r="X29" s="7">
        <f t="shared" si="10"/>
        <v>876506.4</v>
      </c>
      <c r="Y29" s="70">
        <f t="shared" si="11"/>
        <v>8765.1</v>
      </c>
      <c r="Z29" s="67">
        <f t="shared" si="12"/>
        <v>17007.3</v>
      </c>
      <c r="AA29" s="67">
        <f t="shared" si="13"/>
        <v>3543.2</v>
      </c>
      <c r="AB29" s="71">
        <f t="shared" si="14"/>
        <v>105587.2</v>
      </c>
      <c r="AC29" s="71">
        <f t="shared" si="15"/>
        <v>66485.600000000006</v>
      </c>
      <c r="AD29" s="71">
        <f t="shared" si="16"/>
        <v>39101.599999999999</v>
      </c>
      <c r="AE29" s="78">
        <f t="shared" si="17"/>
        <v>169431.3</v>
      </c>
      <c r="AF29" s="79">
        <v>123220.19</v>
      </c>
      <c r="AG29" s="79">
        <v>46211.14</v>
      </c>
      <c r="AH29" s="72">
        <f t="shared" si="18"/>
        <v>-63844.1</v>
      </c>
    </row>
    <row r="30" spans="1:34" hidden="1" x14ac:dyDescent="0.25">
      <c r="A30" s="59">
        <v>115</v>
      </c>
      <c r="B30" s="73" t="s">
        <v>74</v>
      </c>
      <c r="C30" s="74">
        <v>28.33</v>
      </c>
      <c r="D30" s="75"/>
      <c r="E30" s="62">
        <f t="shared" si="0"/>
        <v>28.33</v>
      </c>
      <c r="F30" s="63">
        <v>1.1200000000000001</v>
      </c>
      <c r="G30" s="76">
        <f t="shared" si="1"/>
        <v>31.73</v>
      </c>
      <c r="H30" s="77">
        <v>1980</v>
      </c>
      <c r="I30" s="63">
        <v>1</v>
      </c>
      <c r="J30" s="63">
        <v>1.1000000000000001</v>
      </c>
      <c r="K30" s="65">
        <f t="shared" si="2"/>
        <v>1.7600000000000001E-2</v>
      </c>
      <c r="L30" s="65">
        <v>1</v>
      </c>
      <c r="M30" s="65"/>
      <c r="N30" s="66">
        <f t="shared" si="4"/>
        <v>19796</v>
      </c>
      <c r="O30" s="64">
        <v>1.8</v>
      </c>
      <c r="P30" s="7">
        <v>2.5</v>
      </c>
      <c r="Q30" s="64">
        <v>1.302</v>
      </c>
      <c r="R30" s="67">
        <f t="shared" si="5"/>
        <v>1391817.2</v>
      </c>
      <c r="S30" s="68">
        <f t="shared" si="6"/>
        <v>24496</v>
      </c>
      <c r="T30" s="69">
        <f t="shared" si="7"/>
        <v>3.0000000000000001E-3</v>
      </c>
      <c r="U30" s="7">
        <v>22440</v>
      </c>
      <c r="V30" s="7">
        <f t="shared" si="8"/>
        <v>56100</v>
      </c>
      <c r="W30" s="7">
        <f t="shared" si="9"/>
        <v>16942.2</v>
      </c>
      <c r="X30" s="7">
        <f t="shared" si="10"/>
        <v>876506.4</v>
      </c>
      <c r="Y30" s="70">
        <f t="shared" si="11"/>
        <v>2629.5</v>
      </c>
      <c r="Z30" s="67">
        <f t="shared" si="12"/>
        <v>5425.1</v>
      </c>
      <c r="AA30" s="67">
        <f t="shared" si="13"/>
        <v>1130.2</v>
      </c>
      <c r="AB30" s="71">
        <f t="shared" si="14"/>
        <v>33680.800000000003</v>
      </c>
      <c r="AC30" s="71">
        <f t="shared" si="15"/>
        <v>21207.9</v>
      </c>
      <c r="AD30" s="71">
        <f t="shared" si="16"/>
        <v>12472.9</v>
      </c>
      <c r="AE30" s="78">
        <f t="shared" si="17"/>
        <v>57806</v>
      </c>
      <c r="AF30" s="79">
        <v>42039.83</v>
      </c>
      <c r="AG30" s="79">
        <v>15766.15</v>
      </c>
      <c r="AH30" s="72">
        <f t="shared" si="18"/>
        <v>-24125.200000000001</v>
      </c>
    </row>
    <row r="31" spans="1:34" hidden="1" x14ac:dyDescent="0.25">
      <c r="A31" s="59">
        <v>115</v>
      </c>
      <c r="B31" s="73" t="s">
        <v>75</v>
      </c>
      <c r="C31" s="74">
        <v>29.33</v>
      </c>
      <c r="D31" s="75"/>
      <c r="E31" s="62">
        <f t="shared" si="0"/>
        <v>29.33</v>
      </c>
      <c r="F31" s="63">
        <v>1.1200000000000001</v>
      </c>
      <c r="G31" s="76">
        <f t="shared" si="1"/>
        <v>32.85</v>
      </c>
      <c r="H31" s="77">
        <v>1980</v>
      </c>
      <c r="I31" s="63">
        <v>1</v>
      </c>
      <c r="J31" s="63">
        <v>1.1000000000000001</v>
      </c>
      <c r="K31" s="65">
        <f t="shared" si="2"/>
        <v>1.83E-2</v>
      </c>
      <c r="L31" s="65">
        <v>1</v>
      </c>
      <c r="M31" s="65"/>
      <c r="N31" s="66">
        <f t="shared" si="4"/>
        <v>19796</v>
      </c>
      <c r="O31" s="64">
        <v>1.8</v>
      </c>
      <c r="P31" s="7">
        <v>2.5</v>
      </c>
      <c r="Q31" s="64">
        <v>1.302</v>
      </c>
      <c r="R31" s="67">
        <f t="shared" si="5"/>
        <v>1391817.2</v>
      </c>
      <c r="S31" s="68">
        <f t="shared" si="6"/>
        <v>25470.3</v>
      </c>
      <c r="T31" s="69">
        <f t="shared" si="7"/>
        <v>3.0000000000000001E-3</v>
      </c>
      <c r="U31" s="7">
        <v>22440</v>
      </c>
      <c r="V31" s="7">
        <f t="shared" si="8"/>
        <v>56100</v>
      </c>
      <c r="W31" s="7">
        <f t="shared" si="9"/>
        <v>16942.2</v>
      </c>
      <c r="X31" s="7">
        <f t="shared" si="10"/>
        <v>876506.4</v>
      </c>
      <c r="Y31" s="70">
        <f t="shared" si="11"/>
        <v>2629.5</v>
      </c>
      <c r="Z31" s="67">
        <f t="shared" si="12"/>
        <v>5620</v>
      </c>
      <c r="AA31" s="67">
        <f t="shared" si="13"/>
        <v>1170.8</v>
      </c>
      <c r="AB31" s="71">
        <f t="shared" si="14"/>
        <v>34890.6</v>
      </c>
      <c r="AC31" s="71">
        <f t="shared" si="15"/>
        <v>21969.7</v>
      </c>
      <c r="AD31" s="71">
        <f t="shared" si="16"/>
        <v>12920.9</v>
      </c>
      <c r="AE31" s="78">
        <f t="shared" si="17"/>
        <v>73752.5</v>
      </c>
      <c r="AF31" s="79">
        <v>53637.02</v>
      </c>
      <c r="AG31" s="79">
        <v>20115.439999999999</v>
      </c>
      <c r="AH31" s="72">
        <f t="shared" si="18"/>
        <v>-38861.9</v>
      </c>
    </row>
    <row r="32" spans="1:34" s="100" customFormat="1" hidden="1" x14ac:dyDescent="0.25">
      <c r="A32" s="101">
        <v>116</v>
      </c>
      <c r="B32" s="103" t="s">
        <v>76</v>
      </c>
      <c r="C32" s="104">
        <v>531.66999999999996</v>
      </c>
      <c r="D32" s="102">
        <v>4543</v>
      </c>
      <c r="E32" s="105">
        <f t="shared" si="0"/>
        <v>5074.67</v>
      </c>
      <c r="F32" s="63">
        <v>1.1200000000000001</v>
      </c>
      <c r="G32" s="106">
        <f t="shared" si="1"/>
        <v>5683.63</v>
      </c>
      <c r="H32" s="107">
        <v>1980</v>
      </c>
      <c r="I32" s="108">
        <v>1</v>
      </c>
      <c r="J32" s="108">
        <v>1.1000000000000001</v>
      </c>
      <c r="K32" s="109">
        <f t="shared" si="2"/>
        <v>3.1576</v>
      </c>
      <c r="L32" s="109">
        <v>3</v>
      </c>
      <c r="M32" s="109">
        <f>K32-L32</f>
        <v>0.15759999999999999</v>
      </c>
      <c r="N32" s="66">
        <f t="shared" si="4"/>
        <v>19796</v>
      </c>
      <c r="O32" s="110">
        <v>1.8</v>
      </c>
      <c r="P32" s="111">
        <v>2.2000000000000002</v>
      </c>
      <c r="Q32" s="110">
        <v>1.302</v>
      </c>
      <c r="R32" s="111">
        <f t="shared" si="5"/>
        <v>1224799.1000000001</v>
      </c>
      <c r="S32" s="111">
        <f t="shared" si="6"/>
        <v>3867425.6</v>
      </c>
      <c r="T32" s="112">
        <f t="shared" si="7"/>
        <v>0.57399999999999995</v>
      </c>
      <c r="U32" s="7">
        <v>22440</v>
      </c>
      <c r="V32" s="68">
        <f t="shared" si="8"/>
        <v>49368</v>
      </c>
      <c r="W32" s="111">
        <f t="shared" si="9"/>
        <v>14909.1</v>
      </c>
      <c r="X32" s="68">
        <f t="shared" si="10"/>
        <v>771325.6</v>
      </c>
      <c r="Y32" s="68">
        <f t="shared" si="11"/>
        <v>442740.9</v>
      </c>
      <c r="Z32" s="68">
        <f t="shared" si="12"/>
        <v>862033.3</v>
      </c>
      <c r="AA32" s="68">
        <f t="shared" si="13"/>
        <v>179590.3</v>
      </c>
      <c r="AB32" s="113">
        <f t="shared" si="14"/>
        <v>5351790.0999999996</v>
      </c>
      <c r="AC32" s="113">
        <f t="shared" si="15"/>
        <v>3369884.9</v>
      </c>
      <c r="AD32" s="113">
        <f t="shared" si="16"/>
        <v>1981905.2</v>
      </c>
      <c r="AE32" s="78">
        <f t="shared" si="17"/>
        <v>6829738.5</v>
      </c>
      <c r="AF32" s="102">
        <v>4917800</v>
      </c>
      <c r="AG32" s="102">
        <v>1911938.49</v>
      </c>
      <c r="AH32" s="72">
        <f t="shared" si="18"/>
        <v>-1477948.4</v>
      </c>
    </row>
    <row r="33" spans="1:34" hidden="1" x14ac:dyDescent="0.25">
      <c r="A33" s="59">
        <v>116</v>
      </c>
      <c r="B33" s="73" t="s">
        <v>77</v>
      </c>
      <c r="C33" s="74">
        <v>63.67</v>
      </c>
      <c r="D33" s="75"/>
      <c r="E33" s="62">
        <f t="shared" si="0"/>
        <v>63.67</v>
      </c>
      <c r="F33" s="63">
        <v>1.1200000000000001</v>
      </c>
      <c r="G33" s="76">
        <f t="shared" si="1"/>
        <v>71.31</v>
      </c>
      <c r="H33" s="77">
        <v>1980</v>
      </c>
      <c r="I33" s="63">
        <v>1</v>
      </c>
      <c r="J33" s="63">
        <v>1.1000000000000001</v>
      </c>
      <c r="K33" s="65">
        <f t="shared" si="2"/>
        <v>3.9600000000000003E-2</v>
      </c>
      <c r="L33" s="65">
        <v>1</v>
      </c>
      <c r="M33" s="65"/>
      <c r="N33" s="66">
        <f t="shared" si="4"/>
        <v>19796</v>
      </c>
      <c r="O33" s="64">
        <v>1.8</v>
      </c>
      <c r="P33" s="7">
        <v>2.2000000000000002</v>
      </c>
      <c r="Q33" s="64">
        <v>1.302</v>
      </c>
      <c r="R33" s="67">
        <f t="shared" si="5"/>
        <v>1224799.1000000001</v>
      </c>
      <c r="S33" s="68">
        <f t="shared" si="6"/>
        <v>48502</v>
      </c>
      <c r="T33" s="69">
        <f t="shared" si="7"/>
        <v>7.0000000000000001E-3</v>
      </c>
      <c r="U33" s="7">
        <v>22440</v>
      </c>
      <c r="V33" s="7">
        <f t="shared" si="8"/>
        <v>49368</v>
      </c>
      <c r="W33" s="7">
        <f t="shared" si="9"/>
        <v>14909.1</v>
      </c>
      <c r="X33" s="7">
        <f t="shared" si="10"/>
        <v>771325.6</v>
      </c>
      <c r="Y33" s="70">
        <f t="shared" si="11"/>
        <v>5399.3</v>
      </c>
      <c r="Z33" s="67">
        <f t="shared" si="12"/>
        <v>10780.3</v>
      </c>
      <c r="AA33" s="67">
        <f t="shared" si="13"/>
        <v>2245.9</v>
      </c>
      <c r="AB33" s="71">
        <f t="shared" si="14"/>
        <v>66927.5</v>
      </c>
      <c r="AC33" s="71">
        <f t="shared" si="15"/>
        <v>42142.5</v>
      </c>
      <c r="AD33" s="71">
        <f t="shared" si="16"/>
        <v>24785</v>
      </c>
      <c r="AE33" s="78">
        <f t="shared" si="17"/>
        <v>126296.1</v>
      </c>
      <c r="AF33" s="79">
        <v>91849.78</v>
      </c>
      <c r="AG33" s="79">
        <v>34446.33</v>
      </c>
      <c r="AH33" s="72">
        <f t="shared" si="18"/>
        <v>-59368.6</v>
      </c>
    </row>
    <row r="34" spans="1:34" hidden="1" x14ac:dyDescent="0.25">
      <c r="A34" s="59">
        <v>116</v>
      </c>
      <c r="B34" s="73" t="s">
        <v>78</v>
      </c>
      <c r="C34" s="74">
        <v>73.33</v>
      </c>
      <c r="D34" s="75"/>
      <c r="E34" s="62">
        <f t="shared" si="0"/>
        <v>73.33</v>
      </c>
      <c r="F34" s="63">
        <v>1.1200000000000001</v>
      </c>
      <c r="G34" s="76">
        <f t="shared" si="1"/>
        <v>82.13</v>
      </c>
      <c r="H34" s="77">
        <v>1980</v>
      </c>
      <c r="I34" s="63">
        <v>1</v>
      </c>
      <c r="J34" s="63">
        <v>1.1000000000000001</v>
      </c>
      <c r="K34" s="65">
        <f t="shared" si="2"/>
        <v>4.5600000000000002E-2</v>
      </c>
      <c r="L34" s="65">
        <v>1</v>
      </c>
      <c r="M34" s="65"/>
      <c r="N34" s="66">
        <f t="shared" si="4"/>
        <v>19796</v>
      </c>
      <c r="O34" s="64">
        <v>1.8</v>
      </c>
      <c r="P34" s="7">
        <v>2.2000000000000002</v>
      </c>
      <c r="Q34" s="64">
        <v>1.302</v>
      </c>
      <c r="R34" s="67">
        <f t="shared" si="5"/>
        <v>1224799.1000000001</v>
      </c>
      <c r="S34" s="68">
        <f t="shared" si="6"/>
        <v>55850.8</v>
      </c>
      <c r="T34" s="69">
        <f t="shared" si="7"/>
        <v>8.0000000000000002E-3</v>
      </c>
      <c r="U34" s="7">
        <v>22440</v>
      </c>
      <c r="V34" s="7">
        <f t="shared" si="8"/>
        <v>49368</v>
      </c>
      <c r="W34" s="7">
        <f t="shared" si="9"/>
        <v>14909.1</v>
      </c>
      <c r="X34" s="7">
        <f t="shared" si="10"/>
        <v>771325.6</v>
      </c>
      <c r="Y34" s="70">
        <f t="shared" si="11"/>
        <v>6170.6</v>
      </c>
      <c r="Z34" s="67">
        <f t="shared" si="12"/>
        <v>12404.3</v>
      </c>
      <c r="AA34" s="67">
        <f t="shared" si="13"/>
        <v>2584.1999999999998</v>
      </c>
      <c r="AB34" s="71">
        <f t="shared" si="14"/>
        <v>77009.899999999994</v>
      </c>
      <c r="AC34" s="71">
        <f t="shared" si="15"/>
        <v>48491.199999999997</v>
      </c>
      <c r="AD34" s="71">
        <f t="shared" si="16"/>
        <v>28518.7</v>
      </c>
      <c r="AE34" s="78">
        <f t="shared" si="17"/>
        <v>150853.70000000001</v>
      </c>
      <c r="AF34" s="79">
        <v>109709.46</v>
      </c>
      <c r="AG34" s="79">
        <v>41144.22</v>
      </c>
      <c r="AH34" s="72">
        <f t="shared" si="18"/>
        <v>-73843.8</v>
      </c>
    </row>
    <row r="35" spans="1:34" hidden="1" x14ac:dyDescent="0.25">
      <c r="A35" s="59">
        <v>116</v>
      </c>
      <c r="B35" s="73" t="s">
        <v>79</v>
      </c>
      <c r="C35" s="74">
        <v>51.67</v>
      </c>
      <c r="D35" s="75"/>
      <c r="E35" s="62">
        <f t="shared" si="0"/>
        <v>51.67</v>
      </c>
      <c r="F35" s="63">
        <v>1.1200000000000001</v>
      </c>
      <c r="G35" s="76">
        <f t="shared" si="1"/>
        <v>57.87</v>
      </c>
      <c r="H35" s="77">
        <v>1980</v>
      </c>
      <c r="I35" s="63">
        <v>1</v>
      </c>
      <c r="J35" s="63">
        <v>1.1000000000000001</v>
      </c>
      <c r="K35" s="65">
        <f t="shared" si="2"/>
        <v>3.2199999999999999E-2</v>
      </c>
      <c r="L35" s="65">
        <v>1</v>
      </c>
      <c r="M35" s="65"/>
      <c r="N35" s="66">
        <f t="shared" si="4"/>
        <v>19796</v>
      </c>
      <c r="O35" s="64">
        <v>1.8</v>
      </c>
      <c r="P35" s="7">
        <v>2.2000000000000002</v>
      </c>
      <c r="Q35" s="64">
        <v>1.302</v>
      </c>
      <c r="R35" s="67">
        <f t="shared" si="5"/>
        <v>1224799.1000000001</v>
      </c>
      <c r="S35" s="68">
        <f t="shared" si="6"/>
        <v>39438.5</v>
      </c>
      <c r="T35" s="69">
        <f t="shared" si="7"/>
        <v>6.0000000000000001E-3</v>
      </c>
      <c r="U35" s="7">
        <v>22440</v>
      </c>
      <c r="V35" s="7">
        <f t="shared" si="8"/>
        <v>49368</v>
      </c>
      <c r="W35" s="7">
        <f t="shared" si="9"/>
        <v>14909.1</v>
      </c>
      <c r="X35" s="7">
        <f t="shared" si="10"/>
        <v>771325.6</v>
      </c>
      <c r="Y35" s="70">
        <f t="shared" si="11"/>
        <v>4628</v>
      </c>
      <c r="Z35" s="67">
        <f t="shared" si="12"/>
        <v>8813.2999999999993</v>
      </c>
      <c r="AA35" s="67">
        <f t="shared" si="13"/>
        <v>1836.1</v>
      </c>
      <c r="AB35" s="71">
        <f t="shared" si="14"/>
        <v>54715.9</v>
      </c>
      <c r="AC35" s="71">
        <f t="shared" si="15"/>
        <v>34453.199999999997</v>
      </c>
      <c r="AD35" s="71">
        <f t="shared" si="16"/>
        <v>20262.7</v>
      </c>
      <c r="AE35" s="78">
        <f t="shared" si="17"/>
        <v>112263.2</v>
      </c>
      <c r="AF35" s="79">
        <v>81644.25</v>
      </c>
      <c r="AG35" s="79">
        <v>30618.959999999999</v>
      </c>
      <c r="AH35" s="72">
        <f t="shared" si="18"/>
        <v>-57547.3</v>
      </c>
    </row>
    <row r="36" spans="1:34" hidden="1" x14ac:dyDescent="0.25">
      <c r="A36" s="59">
        <v>116</v>
      </c>
      <c r="B36" s="73" t="s">
        <v>80</v>
      </c>
      <c r="C36" s="74">
        <v>7</v>
      </c>
      <c r="D36" s="75"/>
      <c r="E36" s="62">
        <f t="shared" si="0"/>
        <v>7</v>
      </c>
      <c r="F36" s="63">
        <v>1.1200000000000001</v>
      </c>
      <c r="G36" s="76">
        <f t="shared" si="1"/>
        <v>7.84</v>
      </c>
      <c r="H36" s="77">
        <v>1980</v>
      </c>
      <c r="I36" s="63">
        <v>1</v>
      </c>
      <c r="J36" s="63">
        <v>1.1000000000000001</v>
      </c>
      <c r="K36" s="65">
        <f t="shared" si="2"/>
        <v>4.4000000000000003E-3</v>
      </c>
      <c r="L36" s="65">
        <v>1</v>
      </c>
      <c r="M36" s="65"/>
      <c r="N36" s="66">
        <f t="shared" si="4"/>
        <v>19796</v>
      </c>
      <c r="O36" s="64">
        <v>1.8</v>
      </c>
      <c r="P36" s="7">
        <v>2.2000000000000002</v>
      </c>
      <c r="Q36" s="64">
        <v>1.302</v>
      </c>
      <c r="R36" s="67">
        <f t="shared" si="5"/>
        <v>1224799.1000000001</v>
      </c>
      <c r="S36" s="68">
        <f t="shared" si="6"/>
        <v>5389.1</v>
      </c>
      <c r="T36" s="69">
        <f t="shared" si="7"/>
        <v>1E-3</v>
      </c>
      <c r="U36" s="7">
        <v>22440</v>
      </c>
      <c r="V36" s="7">
        <f t="shared" si="8"/>
        <v>49368</v>
      </c>
      <c r="W36" s="7">
        <f t="shared" si="9"/>
        <v>14909.1</v>
      </c>
      <c r="X36" s="7">
        <f t="shared" si="10"/>
        <v>771325.6</v>
      </c>
      <c r="Y36" s="70">
        <f t="shared" si="11"/>
        <v>771.3</v>
      </c>
      <c r="Z36" s="67">
        <f t="shared" si="12"/>
        <v>1232.0999999999999</v>
      </c>
      <c r="AA36" s="67">
        <f t="shared" si="13"/>
        <v>256.7</v>
      </c>
      <c r="AB36" s="71">
        <f t="shared" si="14"/>
        <v>7649.2</v>
      </c>
      <c r="AC36" s="71">
        <f t="shared" si="15"/>
        <v>4816.5</v>
      </c>
      <c r="AD36" s="71">
        <f t="shared" si="16"/>
        <v>2832.7</v>
      </c>
      <c r="AE36" s="78">
        <f t="shared" si="17"/>
        <v>33328.1</v>
      </c>
      <c r="AF36" s="79">
        <v>24238.14</v>
      </c>
      <c r="AG36" s="79">
        <v>9090</v>
      </c>
      <c r="AH36" s="72">
        <f t="shared" si="18"/>
        <v>-25678.9</v>
      </c>
    </row>
    <row r="37" spans="1:34" hidden="1" x14ac:dyDescent="0.25">
      <c r="A37" s="59">
        <v>116</v>
      </c>
      <c r="B37" s="73" t="s">
        <v>81</v>
      </c>
      <c r="C37" s="74">
        <v>40.33</v>
      </c>
      <c r="D37" s="75"/>
      <c r="E37" s="62">
        <f t="shared" si="0"/>
        <v>40.33</v>
      </c>
      <c r="F37" s="63">
        <v>1.1200000000000001</v>
      </c>
      <c r="G37" s="76">
        <f t="shared" si="1"/>
        <v>45.17</v>
      </c>
      <c r="H37" s="77">
        <v>1980</v>
      </c>
      <c r="I37" s="63">
        <v>1</v>
      </c>
      <c r="J37" s="63">
        <v>1.1000000000000001</v>
      </c>
      <c r="K37" s="65">
        <f t="shared" si="2"/>
        <v>2.5100000000000001E-2</v>
      </c>
      <c r="L37" s="65">
        <v>1</v>
      </c>
      <c r="M37" s="65"/>
      <c r="N37" s="66">
        <f t="shared" si="4"/>
        <v>19796</v>
      </c>
      <c r="O37" s="64">
        <v>1.8</v>
      </c>
      <c r="P37" s="7">
        <v>2.2000000000000002</v>
      </c>
      <c r="Q37" s="64">
        <v>1.302</v>
      </c>
      <c r="R37" s="67">
        <f t="shared" si="5"/>
        <v>1224799.1000000001</v>
      </c>
      <c r="S37" s="68">
        <f t="shared" si="6"/>
        <v>30742.5</v>
      </c>
      <c r="T37" s="69">
        <f t="shared" si="7"/>
        <v>5.0000000000000001E-3</v>
      </c>
      <c r="U37" s="7">
        <v>22440</v>
      </c>
      <c r="V37" s="7">
        <f t="shared" si="8"/>
        <v>49368</v>
      </c>
      <c r="W37" s="7">
        <f t="shared" si="9"/>
        <v>14909.1</v>
      </c>
      <c r="X37" s="7">
        <f t="shared" si="10"/>
        <v>771325.6</v>
      </c>
      <c r="Y37" s="70">
        <f t="shared" si="11"/>
        <v>3856.6</v>
      </c>
      <c r="Z37" s="67">
        <f t="shared" si="12"/>
        <v>6919.8</v>
      </c>
      <c r="AA37" s="67">
        <f t="shared" si="13"/>
        <v>1441.6</v>
      </c>
      <c r="AB37" s="71">
        <f t="shared" si="14"/>
        <v>42960.5</v>
      </c>
      <c r="AC37" s="71">
        <f t="shared" si="15"/>
        <v>27051.1</v>
      </c>
      <c r="AD37" s="71">
        <f t="shared" si="16"/>
        <v>15909.4</v>
      </c>
      <c r="AE37" s="78">
        <f t="shared" si="17"/>
        <v>80689.2</v>
      </c>
      <c r="AF37" s="79">
        <v>58681.8</v>
      </c>
      <c r="AG37" s="79">
        <v>22007.37</v>
      </c>
      <c r="AH37" s="72">
        <f t="shared" si="18"/>
        <v>-37728.699999999997</v>
      </c>
    </row>
    <row r="38" spans="1:34" hidden="1" x14ac:dyDescent="0.25">
      <c r="A38" s="59">
        <v>116</v>
      </c>
      <c r="B38" s="73" t="s">
        <v>82</v>
      </c>
      <c r="C38" s="74">
        <v>78</v>
      </c>
      <c r="D38" s="75"/>
      <c r="E38" s="62">
        <f t="shared" si="0"/>
        <v>78</v>
      </c>
      <c r="F38" s="63">
        <v>1.1200000000000001</v>
      </c>
      <c r="G38" s="76">
        <f t="shared" si="1"/>
        <v>87.36</v>
      </c>
      <c r="H38" s="77">
        <v>1980</v>
      </c>
      <c r="I38" s="63">
        <v>1</v>
      </c>
      <c r="J38" s="63">
        <v>1.1000000000000001</v>
      </c>
      <c r="K38" s="65">
        <f t="shared" si="2"/>
        <v>4.8500000000000001E-2</v>
      </c>
      <c r="L38" s="65">
        <v>1</v>
      </c>
      <c r="M38" s="65"/>
      <c r="N38" s="66">
        <f t="shared" si="4"/>
        <v>19796</v>
      </c>
      <c r="O38" s="64">
        <v>1.8</v>
      </c>
      <c r="P38" s="7">
        <v>2.2000000000000002</v>
      </c>
      <c r="Q38" s="64">
        <v>1.302</v>
      </c>
      <c r="R38" s="67">
        <f t="shared" si="5"/>
        <v>1224799.1000000001</v>
      </c>
      <c r="S38" s="68">
        <f t="shared" si="6"/>
        <v>59402.8</v>
      </c>
      <c r="T38" s="69">
        <f t="shared" si="7"/>
        <v>8.9999999999999993E-3</v>
      </c>
      <c r="U38" s="7">
        <v>22440</v>
      </c>
      <c r="V38" s="7">
        <f t="shared" si="8"/>
        <v>49368</v>
      </c>
      <c r="W38" s="7">
        <f t="shared" si="9"/>
        <v>14909.1</v>
      </c>
      <c r="X38" s="7">
        <f t="shared" si="10"/>
        <v>771325.6</v>
      </c>
      <c r="Y38" s="70">
        <f t="shared" si="11"/>
        <v>6941.9</v>
      </c>
      <c r="Z38" s="67">
        <f t="shared" si="12"/>
        <v>13268.9</v>
      </c>
      <c r="AA38" s="67">
        <f t="shared" si="13"/>
        <v>2764.4</v>
      </c>
      <c r="AB38" s="71">
        <f t="shared" si="14"/>
        <v>82378</v>
      </c>
      <c r="AC38" s="71">
        <f t="shared" si="15"/>
        <v>51871.3</v>
      </c>
      <c r="AD38" s="71">
        <f t="shared" si="16"/>
        <v>30506.7</v>
      </c>
      <c r="AE38" s="78">
        <f t="shared" si="17"/>
        <v>157870.1</v>
      </c>
      <c r="AF38" s="79">
        <v>114812.23</v>
      </c>
      <c r="AG38" s="79">
        <v>43057.91</v>
      </c>
      <c r="AH38" s="72">
        <f t="shared" si="18"/>
        <v>-75492.100000000006</v>
      </c>
    </row>
    <row r="39" spans="1:34" hidden="1" x14ac:dyDescent="0.25">
      <c r="A39" s="59">
        <v>116</v>
      </c>
      <c r="B39" s="73" t="s">
        <v>83</v>
      </c>
      <c r="C39" s="74">
        <v>30.67</v>
      </c>
      <c r="D39" s="75"/>
      <c r="E39" s="62">
        <f t="shared" si="0"/>
        <v>30.67</v>
      </c>
      <c r="F39" s="63">
        <v>1.1200000000000001</v>
      </c>
      <c r="G39" s="76">
        <f t="shared" si="1"/>
        <v>34.35</v>
      </c>
      <c r="H39" s="77">
        <v>1980</v>
      </c>
      <c r="I39" s="63">
        <v>1</v>
      </c>
      <c r="J39" s="63">
        <v>1.1000000000000001</v>
      </c>
      <c r="K39" s="65">
        <f t="shared" si="2"/>
        <v>1.9099999999999999E-2</v>
      </c>
      <c r="L39" s="65">
        <v>1</v>
      </c>
      <c r="M39" s="65"/>
      <c r="N39" s="66">
        <f t="shared" si="4"/>
        <v>19796</v>
      </c>
      <c r="O39" s="64">
        <v>1.8</v>
      </c>
      <c r="P39" s="7">
        <v>2.2000000000000002</v>
      </c>
      <c r="Q39" s="64">
        <v>1.302</v>
      </c>
      <c r="R39" s="67">
        <f t="shared" si="5"/>
        <v>1224799.1000000001</v>
      </c>
      <c r="S39" s="68">
        <f t="shared" si="6"/>
        <v>23393.7</v>
      </c>
      <c r="T39" s="69">
        <f t="shared" si="7"/>
        <v>3.0000000000000001E-3</v>
      </c>
      <c r="U39" s="7">
        <v>22440</v>
      </c>
      <c r="V39" s="7">
        <f t="shared" si="8"/>
        <v>49368</v>
      </c>
      <c r="W39" s="7">
        <f t="shared" si="9"/>
        <v>14909.1</v>
      </c>
      <c r="X39" s="7">
        <f t="shared" si="10"/>
        <v>771325.6</v>
      </c>
      <c r="Y39" s="70">
        <f t="shared" si="11"/>
        <v>2314</v>
      </c>
      <c r="Z39" s="67">
        <f t="shared" si="12"/>
        <v>5141.5</v>
      </c>
      <c r="AA39" s="67">
        <f t="shared" si="13"/>
        <v>1071.2</v>
      </c>
      <c r="AB39" s="71">
        <f t="shared" si="14"/>
        <v>31920.400000000001</v>
      </c>
      <c r="AC39" s="71">
        <f t="shared" si="15"/>
        <v>20099.5</v>
      </c>
      <c r="AD39" s="71">
        <f t="shared" si="16"/>
        <v>11820.9</v>
      </c>
      <c r="AE39" s="78">
        <f t="shared" si="17"/>
        <v>59639.8</v>
      </c>
      <c r="AF39" s="79">
        <v>43373.51</v>
      </c>
      <c r="AG39" s="79">
        <v>16266.32</v>
      </c>
      <c r="AH39" s="72">
        <f t="shared" si="18"/>
        <v>-27719.4</v>
      </c>
    </row>
    <row r="40" spans="1:34" hidden="1" x14ac:dyDescent="0.25">
      <c r="A40" s="59">
        <v>116</v>
      </c>
      <c r="B40" s="73" t="s">
        <v>84</v>
      </c>
      <c r="C40" s="74">
        <v>32.67</v>
      </c>
      <c r="D40" s="75"/>
      <c r="E40" s="62">
        <f t="shared" si="0"/>
        <v>32.67</v>
      </c>
      <c r="F40" s="63">
        <v>1.1200000000000001</v>
      </c>
      <c r="G40" s="76">
        <f t="shared" si="1"/>
        <v>36.590000000000003</v>
      </c>
      <c r="H40" s="77">
        <v>1980</v>
      </c>
      <c r="I40" s="63">
        <v>1</v>
      </c>
      <c r="J40" s="63">
        <v>1.1000000000000001</v>
      </c>
      <c r="K40" s="65">
        <f t="shared" si="2"/>
        <v>2.0299999999999999E-2</v>
      </c>
      <c r="L40" s="65">
        <v>1</v>
      </c>
      <c r="M40" s="65"/>
      <c r="N40" s="66">
        <f t="shared" si="4"/>
        <v>19796</v>
      </c>
      <c r="O40" s="64">
        <v>1.8</v>
      </c>
      <c r="P40" s="7">
        <v>2.2000000000000002</v>
      </c>
      <c r="Q40" s="64">
        <v>1.302</v>
      </c>
      <c r="R40" s="67">
        <f t="shared" si="5"/>
        <v>1224799.1000000001</v>
      </c>
      <c r="S40" s="68">
        <f t="shared" si="6"/>
        <v>24863.4</v>
      </c>
      <c r="T40" s="69">
        <f t="shared" si="7"/>
        <v>4.0000000000000001E-3</v>
      </c>
      <c r="U40" s="7">
        <v>22440</v>
      </c>
      <c r="V40" s="7">
        <f t="shared" si="8"/>
        <v>49368</v>
      </c>
      <c r="W40" s="7">
        <f t="shared" si="9"/>
        <v>14909.1</v>
      </c>
      <c r="X40" s="7">
        <f t="shared" si="10"/>
        <v>771325.6</v>
      </c>
      <c r="Y40" s="70">
        <f t="shared" si="11"/>
        <v>3085.3</v>
      </c>
      <c r="Z40" s="67">
        <f t="shared" si="12"/>
        <v>5589.7</v>
      </c>
      <c r="AA40" s="67">
        <f t="shared" si="13"/>
        <v>1164.5</v>
      </c>
      <c r="AB40" s="71">
        <f t="shared" si="14"/>
        <v>34702.9</v>
      </c>
      <c r="AC40" s="71">
        <f t="shared" si="15"/>
        <v>21851.5</v>
      </c>
      <c r="AD40" s="71">
        <f t="shared" si="16"/>
        <v>12851.4</v>
      </c>
      <c r="AE40" s="78">
        <f t="shared" si="17"/>
        <v>57885.7</v>
      </c>
      <c r="AF40" s="79">
        <v>42097.82</v>
      </c>
      <c r="AG40" s="79">
        <v>15787.9</v>
      </c>
      <c r="AH40" s="72">
        <f t="shared" si="18"/>
        <v>-23182.799999999999</v>
      </c>
    </row>
    <row r="41" spans="1:34" hidden="1" x14ac:dyDescent="0.25">
      <c r="A41" s="59">
        <v>116</v>
      </c>
      <c r="B41" s="73" t="s">
        <v>85</v>
      </c>
      <c r="C41" s="74">
        <v>10.67</v>
      </c>
      <c r="D41" s="75"/>
      <c r="E41" s="62">
        <f t="shared" si="0"/>
        <v>10.67</v>
      </c>
      <c r="F41" s="63">
        <v>1.1200000000000001</v>
      </c>
      <c r="G41" s="76">
        <f t="shared" si="1"/>
        <v>11.95</v>
      </c>
      <c r="H41" s="77">
        <v>1980</v>
      </c>
      <c r="I41" s="63">
        <v>1</v>
      </c>
      <c r="J41" s="63">
        <v>1.1000000000000001</v>
      </c>
      <c r="K41" s="65">
        <f t="shared" si="2"/>
        <v>6.6E-3</v>
      </c>
      <c r="L41" s="65">
        <v>1</v>
      </c>
      <c r="M41" s="65"/>
      <c r="N41" s="66">
        <f t="shared" si="4"/>
        <v>19796</v>
      </c>
      <c r="O41" s="64">
        <v>1.8</v>
      </c>
      <c r="P41" s="7">
        <v>2.2000000000000002</v>
      </c>
      <c r="Q41" s="64">
        <v>1.302</v>
      </c>
      <c r="R41" s="67">
        <f t="shared" si="5"/>
        <v>1224799.1000000001</v>
      </c>
      <c r="S41" s="68">
        <f t="shared" si="6"/>
        <v>8083.7</v>
      </c>
      <c r="T41" s="69">
        <f t="shared" si="7"/>
        <v>1E-3</v>
      </c>
      <c r="U41" s="7">
        <v>22440</v>
      </c>
      <c r="V41" s="7">
        <f t="shared" si="8"/>
        <v>49368</v>
      </c>
      <c r="W41" s="7">
        <f t="shared" si="9"/>
        <v>14909.1</v>
      </c>
      <c r="X41" s="7">
        <f t="shared" si="10"/>
        <v>771325.6</v>
      </c>
      <c r="Y41" s="70">
        <f t="shared" si="11"/>
        <v>771.3</v>
      </c>
      <c r="Z41" s="67">
        <f t="shared" si="12"/>
        <v>1771</v>
      </c>
      <c r="AA41" s="67">
        <f t="shared" si="13"/>
        <v>369</v>
      </c>
      <c r="AB41" s="71">
        <f t="shared" si="14"/>
        <v>10995</v>
      </c>
      <c r="AC41" s="71">
        <f t="shared" si="15"/>
        <v>6923.3</v>
      </c>
      <c r="AD41" s="71">
        <f t="shared" si="16"/>
        <v>4071.7</v>
      </c>
      <c r="AE41" s="78">
        <f t="shared" si="17"/>
        <v>22803.5</v>
      </c>
      <c r="AF41" s="79">
        <v>16583.990000000002</v>
      </c>
      <c r="AG41" s="79">
        <v>6219.48</v>
      </c>
      <c r="AH41" s="72">
        <f t="shared" si="18"/>
        <v>-11808.5</v>
      </c>
    </row>
    <row r="42" spans="1:34" s="100" customFormat="1" hidden="1" x14ac:dyDescent="0.25">
      <c r="A42" s="101">
        <v>117</v>
      </c>
      <c r="B42" s="103" t="s">
        <v>86</v>
      </c>
      <c r="C42" s="104">
        <v>419.33</v>
      </c>
      <c r="D42" s="102">
        <v>4112.67</v>
      </c>
      <c r="E42" s="105">
        <f t="shared" si="0"/>
        <v>4532</v>
      </c>
      <c r="F42" s="63">
        <v>1.1200000000000001</v>
      </c>
      <c r="G42" s="106">
        <f t="shared" si="1"/>
        <v>5075.84</v>
      </c>
      <c r="H42" s="107">
        <v>1980</v>
      </c>
      <c r="I42" s="108">
        <v>1</v>
      </c>
      <c r="J42" s="108">
        <v>1.1000000000000001</v>
      </c>
      <c r="K42" s="109">
        <f t="shared" si="2"/>
        <v>2.8199000000000001</v>
      </c>
      <c r="L42" s="109">
        <v>3</v>
      </c>
      <c r="M42" s="109">
        <f>K42-L42</f>
        <v>-0.18010000000000001</v>
      </c>
      <c r="N42" s="66">
        <f t="shared" si="4"/>
        <v>19796</v>
      </c>
      <c r="O42" s="110">
        <v>1.8</v>
      </c>
      <c r="P42" s="111">
        <v>2.2000000000000002</v>
      </c>
      <c r="Q42" s="110">
        <v>1.302</v>
      </c>
      <c r="R42" s="111">
        <f t="shared" si="5"/>
        <v>1224799.1000000001</v>
      </c>
      <c r="S42" s="111">
        <f t="shared" si="6"/>
        <v>3453811</v>
      </c>
      <c r="T42" s="112">
        <f t="shared" si="7"/>
        <v>0.51300000000000001</v>
      </c>
      <c r="U42" s="7">
        <v>22440</v>
      </c>
      <c r="V42" s="68">
        <f t="shared" si="8"/>
        <v>49368</v>
      </c>
      <c r="W42" s="111">
        <f t="shared" si="9"/>
        <v>14909.1</v>
      </c>
      <c r="X42" s="68">
        <f t="shared" si="10"/>
        <v>771325.6</v>
      </c>
      <c r="Y42" s="68">
        <f t="shared" si="11"/>
        <v>395690</v>
      </c>
      <c r="Z42" s="68">
        <f t="shared" si="12"/>
        <v>769900.2</v>
      </c>
      <c r="AA42" s="68">
        <f t="shared" si="13"/>
        <v>160395.9</v>
      </c>
      <c r="AB42" s="113">
        <f t="shared" si="14"/>
        <v>4779797.0999999996</v>
      </c>
      <c r="AC42" s="113">
        <f t="shared" si="15"/>
        <v>3009715.6</v>
      </c>
      <c r="AD42" s="113">
        <f t="shared" si="16"/>
        <v>1770081.5</v>
      </c>
      <c r="AE42" s="78">
        <f t="shared" si="17"/>
        <v>6829738.5</v>
      </c>
      <c r="AF42" s="102">
        <v>4917800</v>
      </c>
      <c r="AG42" s="102">
        <v>1911938.49</v>
      </c>
      <c r="AH42" s="72">
        <f t="shared" si="18"/>
        <v>-2049941.4</v>
      </c>
    </row>
    <row r="43" spans="1:34" hidden="1" x14ac:dyDescent="0.25">
      <c r="A43" s="59">
        <v>117</v>
      </c>
      <c r="B43" s="73" t="s">
        <v>87</v>
      </c>
      <c r="C43" s="74">
        <v>28</v>
      </c>
      <c r="D43" s="75"/>
      <c r="E43" s="62">
        <f t="shared" si="0"/>
        <v>28</v>
      </c>
      <c r="F43" s="63">
        <v>1.1200000000000001</v>
      </c>
      <c r="G43" s="76">
        <f t="shared" si="1"/>
        <v>31.36</v>
      </c>
      <c r="H43" s="77">
        <v>1980</v>
      </c>
      <c r="I43" s="63">
        <v>1</v>
      </c>
      <c r="J43" s="63">
        <v>1.1000000000000001</v>
      </c>
      <c r="K43" s="65">
        <f t="shared" si="2"/>
        <v>1.7399999999999999E-2</v>
      </c>
      <c r="L43" s="65">
        <v>1</v>
      </c>
      <c r="M43" s="65"/>
      <c r="N43" s="66">
        <f t="shared" si="4"/>
        <v>19796</v>
      </c>
      <c r="O43" s="64">
        <v>1.8</v>
      </c>
      <c r="P43" s="7">
        <v>2.2000000000000002</v>
      </c>
      <c r="Q43" s="64">
        <v>1.302</v>
      </c>
      <c r="R43" s="67">
        <f t="shared" si="5"/>
        <v>1224799.1000000001</v>
      </c>
      <c r="S43" s="68">
        <f t="shared" si="6"/>
        <v>21311.5</v>
      </c>
      <c r="T43" s="69">
        <f t="shared" si="7"/>
        <v>3.0000000000000001E-3</v>
      </c>
      <c r="U43" s="7">
        <v>22440</v>
      </c>
      <c r="V43" s="7">
        <f t="shared" si="8"/>
        <v>49368</v>
      </c>
      <c r="W43" s="7">
        <f t="shared" si="9"/>
        <v>14909.1</v>
      </c>
      <c r="X43" s="7">
        <f t="shared" si="10"/>
        <v>771325.6</v>
      </c>
      <c r="Y43" s="70">
        <f t="shared" si="11"/>
        <v>2314</v>
      </c>
      <c r="Z43" s="67">
        <f t="shared" si="12"/>
        <v>4725.1000000000004</v>
      </c>
      <c r="AA43" s="67">
        <f t="shared" si="13"/>
        <v>984.4</v>
      </c>
      <c r="AB43" s="71">
        <f t="shared" si="14"/>
        <v>29335</v>
      </c>
      <c r="AC43" s="71">
        <f t="shared" si="15"/>
        <v>18471.5</v>
      </c>
      <c r="AD43" s="71">
        <f t="shared" si="16"/>
        <v>10863.5</v>
      </c>
      <c r="AE43" s="78">
        <f t="shared" si="17"/>
        <v>56131.6</v>
      </c>
      <c r="AF43" s="79">
        <v>40822.120000000003</v>
      </c>
      <c r="AG43" s="79">
        <v>15309.48</v>
      </c>
      <c r="AH43" s="72">
        <f t="shared" si="18"/>
        <v>-26796.6</v>
      </c>
    </row>
    <row r="44" spans="1:34" hidden="1" x14ac:dyDescent="0.25">
      <c r="A44" s="59">
        <v>117</v>
      </c>
      <c r="B44" s="73" t="s">
        <v>88</v>
      </c>
      <c r="C44" s="74">
        <v>430.33</v>
      </c>
      <c r="D44" s="75"/>
      <c r="E44" s="62">
        <f t="shared" si="0"/>
        <v>430.33</v>
      </c>
      <c r="F44" s="63">
        <v>1.1200000000000001</v>
      </c>
      <c r="G44" s="76">
        <f t="shared" si="1"/>
        <v>481.97</v>
      </c>
      <c r="H44" s="77">
        <v>1980</v>
      </c>
      <c r="I44" s="63">
        <v>1</v>
      </c>
      <c r="J44" s="63">
        <v>1.1000000000000001</v>
      </c>
      <c r="K44" s="65">
        <f t="shared" si="2"/>
        <v>0.26779999999999998</v>
      </c>
      <c r="L44" s="65">
        <v>1</v>
      </c>
      <c r="M44" s="65"/>
      <c r="N44" s="66">
        <f t="shared" si="4"/>
        <v>19796</v>
      </c>
      <c r="O44" s="64">
        <v>1.8</v>
      </c>
      <c r="P44" s="7">
        <v>2.2000000000000002</v>
      </c>
      <c r="Q44" s="64">
        <v>1.302</v>
      </c>
      <c r="R44" s="67">
        <f t="shared" si="5"/>
        <v>1224799.1000000001</v>
      </c>
      <c r="S44" s="68">
        <f t="shared" si="6"/>
        <v>328001.2</v>
      </c>
      <c r="T44" s="69">
        <f t="shared" si="7"/>
        <v>4.9000000000000002E-2</v>
      </c>
      <c r="U44" s="7">
        <v>22440</v>
      </c>
      <c r="V44" s="7">
        <f t="shared" si="8"/>
        <v>49368</v>
      </c>
      <c r="W44" s="7">
        <f t="shared" si="9"/>
        <v>14909.1</v>
      </c>
      <c r="X44" s="7">
        <f t="shared" si="10"/>
        <v>771325.6</v>
      </c>
      <c r="Y44" s="70">
        <f t="shared" si="11"/>
        <v>37795</v>
      </c>
      <c r="Z44" s="67">
        <f t="shared" si="12"/>
        <v>73159.199999999997</v>
      </c>
      <c r="AA44" s="67">
        <f t="shared" si="13"/>
        <v>15241.5</v>
      </c>
      <c r="AB44" s="71">
        <f t="shared" si="14"/>
        <v>454196.9</v>
      </c>
      <c r="AC44" s="71">
        <f t="shared" si="15"/>
        <v>285996.09999999998</v>
      </c>
      <c r="AD44" s="71">
        <f t="shared" si="16"/>
        <v>168200.8</v>
      </c>
      <c r="AE44" s="78">
        <f t="shared" si="17"/>
        <v>822370.8</v>
      </c>
      <c r="AF44" s="79">
        <v>598075.28</v>
      </c>
      <c r="AG44" s="79">
        <v>224295.53</v>
      </c>
      <c r="AH44" s="72">
        <f t="shared" si="18"/>
        <v>-368173.9</v>
      </c>
    </row>
    <row r="45" spans="1:34" hidden="1" x14ac:dyDescent="0.25">
      <c r="A45" s="59">
        <v>117</v>
      </c>
      <c r="B45" s="73" t="s">
        <v>89</v>
      </c>
      <c r="C45" s="74">
        <v>125.33</v>
      </c>
      <c r="D45" s="75"/>
      <c r="E45" s="62">
        <f t="shared" si="0"/>
        <v>125.33</v>
      </c>
      <c r="F45" s="63">
        <v>1.1200000000000001</v>
      </c>
      <c r="G45" s="76">
        <f t="shared" si="1"/>
        <v>140.37</v>
      </c>
      <c r="H45" s="77">
        <v>1980</v>
      </c>
      <c r="I45" s="63">
        <v>1</v>
      </c>
      <c r="J45" s="63">
        <v>1.1000000000000001</v>
      </c>
      <c r="K45" s="65">
        <f t="shared" si="2"/>
        <v>7.8E-2</v>
      </c>
      <c r="L45" s="65">
        <v>1</v>
      </c>
      <c r="M45" s="65"/>
      <c r="N45" s="66">
        <f t="shared" si="4"/>
        <v>19796</v>
      </c>
      <c r="O45" s="64">
        <v>1.8</v>
      </c>
      <c r="P45" s="7">
        <v>2.2000000000000002</v>
      </c>
      <c r="Q45" s="64">
        <v>1.302</v>
      </c>
      <c r="R45" s="67">
        <f t="shared" si="5"/>
        <v>1224799.1000000001</v>
      </c>
      <c r="S45" s="68">
        <f t="shared" si="6"/>
        <v>95534.3</v>
      </c>
      <c r="T45" s="69">
        <f t="shared" si="7"/>
        <v>1.4E-2</v>
      </c>
      <c r="U45" s="7">
        <v>22440</v>
      </c>
      <c r="V45" s="7">
        <f t="shared" si="8"/>
        <v>49368</v>
      </c>
      <c r="W45" s="7">
        <f t="shared" si="9"/>
        <v>14909.1</v>
      </c>
      <c r="X45" s="7">
        <f t="shared" si="10"/>
        <v>771325.6</v>
      </c>
      <c r="Y45" s="70">
        <f t="shared" si="11"/>
        <v>10798.6</v>
      </c>
      <c r="Z45" s="67">
        <f t="shared" si="12"/>
        <v>21266.6</v>
      </c>
      <c r="AA45" s="67">
        <f t="shared" si="13"/>
        <v>4430.5</v>
      </c>
      <c r="AB45" s="71">
        <f t="shared" si="14"/>
        <v>132030</v>
      </c>
      <c r="AC45" s="71">
        <f t="shared" si="15"/>
        <v>83135.899999999994</v>
      </c>
      <c r="AD45" s="71">
        <f t="shared" si="16"/>
        <v>48894.1</v>
      </c>
      <c r="AE45" s="78">
        <f t="shared" si="17"/>
        <v>233297</v>
      </c>
      <c r="AF45" s="79">
        <v>169666.95</v>
      </c>
      <c r="AG45" s="79">
        <v>63630.02</v>
      </c>
      <c r="AH45" s="72">
        <f t="shared" si="18"/>
        <v>-101267</v>
      </c>
    </row>
    <row r="46" spans="1:34" hidden="1" x14ac:dyDescent="0.25">
      <c r="A46" s="59">
        <v>117</v>
      </c>
      <c r="B46" s="73" t="s">
        <v>90</v>
      </c>
      <c r="C46" s="74">
        <v>4.33</v>
      </c>
      <c r="D46" s="114"/>
      <c r="E46" s="62">
        <f t="shared" si="0"/>
        <v>4.33</v>
      </c>
      <c r="F46" s="63">
        <v>1.1200000000000001</v>
      </c>
      <c r="G46" s="76">
        <f t="shared" si="1"/>
        <v>4.8499999999999996</v>
      </c>
      <c r="H46" s="77">
        <v>1980</v>
      </c>
      <c r="I46" s="63">
        <v>1</v>
      </c>
      <c r="J46" s="63">
        <v>1.1000000000000001</v>
      </c>
      <c r="K46" s="65">
        <f t="shared" si="2"/>
        <v>2.7000000000000001E-3</v>
      </c>
      <c r="L46" s="65">
        <v>1</v>
      </c>
      <c r="M46" s="65"/>
      <c r="N46" s="66">
        <f t="shared" si="4"/>
        <v>19796</v>
      </c>
      <c r="O46" s="64">
        <v>1.8</v>
      </c>
      <c r="P46" s="7">
        <v>2.2000000000000002</v>
      </c>
      <c r="Q46" s="64">
        <v>1.302</v>
      </c>
      <c r="R46" s="67">
        <f t="shared" si="5"/>
        <v>1224799.1000000001</v>
      </c>
      <c r="S46" s="68">
        <f t="shared" si="6"/>
        <v>3307</v>
      </c>
      <c r="T46" s="69">
        <f t="shared" si="7"/>
        <v>0</v>
      </c>
      <c r="U46" s="7">
        <v>22440</v>
      </c>
      <c r="V46" s="7">
        <f t="shared" si="8"/>
        <v>49368</v>
      </c>
      <c r="W46" s="7">
        <f t="shared" si="9"/>
        <v>14909.1</v>
      </c>
      <c r="X46" s="7">
        <f t="shared" si="10"/>
        <v>771325.6</v>
      </c>
      <c r="Y46" s="70">
        <f t="shared" si="11"/>
        <v>0</v>
      </c>
      <c r="Z46" s="67">
        <f t="shared" si="12"/>
        <v>661.4</v>
      </c>
      <c r="AA46" s="67">
        <f t="shared" si="13"/>
        <v>137.80000000000001</v>
      </c>
      <c r="AB46" s="71">
        <f t="shared" si="14"/>
        <v>4106.2</v>
      </c>
      <c r="AC46" s="71">
        <f t="shared" si="15"/>
        <v>2585.6</v>
      </c>
      <c r="AD46" s="71">
        <f t="shared" si="16"/>
        <v>1520.6</v>
      </c>
      <c r="AE46" s="78">
        <f t="shared" si="17"/>
        <v>7016.5</v>
      </c>
      <c r="AF46" s="79">
        <v>5102.7700000000004</v>
      </c>
      <c r="AG46" s="79">
        <v>1913.68</v>
      </c>
      <c r="AH46" s="72">
        <f t="shared" si="18"/>
        <v>-2910.3</v>
      </c>
    </row>
    <row r="47" spans="1:34" s="80" customFormat="1" hidden="1" x14ac:dyDescent="0.25">
      <c r="A47" s="101">
        <v>118</v>
      </c>
      <c r="B47" s="103" t="s">
        <v>91</v>
      </c>
      <c r="C47" s="104">
        <v>796.33</v>
      </c>
      <c r="D47" s="102">
        <v>3825</v>
      </c>
      <c r="E47" s="105">
        <f t="shared" si="0"/>
        <v>4621.33</v>
      </c>
      <c r="F47" s="63">
        <v>1.1200000000000001</v>
      </c>
      <c r="G47" s="106">
        <f t="shared" si="1"/>
        <v>5175.8900000000003</v>
      </c>
      <c r="H47" s="107">
        <v>1980</v>
      </c>
      <c r="I47" s="108">
        <v>1</v>
      </c>
      <c r="J47" s="108">
        <v>1.1000000000000001</v>
      </c>
      <c r="K47" s="109">
        <f t="shared" si="2"/>
        <v>2.8755000000000002</v>
      </c>
      <c r="L47" s="109">
        <v>3</v>
      </c>
      <c r="M47" s="109">
        <f>K47-L47</f>
        <v>-0.1245</v>
      </c>
      <c r="N47" s="66">
        <f t="shared" si="4"/>
        <v>19796</v>
      </c>
      <c r="O47" s="110">
        <v>1.8</v>
      </c>
      <c r="P47" s="111">
        <v>2.2000000000000002</v>
      </c>
      <c r="Q47" s="110">
        <v>1.302</v>
      </c>
      <c r="R47" s="111">
        <f t="shared" si="5"/>
        <v>1224799.1000000001</v>
      </c>
      <c r="S47" s="111">
        <f t="shared" si="6"/>
        <v>3521909.8</v>
      </c>
      <c r="T47" s="112">
        <f t="shared" si="7"/>
        <v>0.52300000000000002</v>
      </c>
      <c r="U47" s="7">
        <v>22440</v>
      </c>
      <c r="V47" s="68">
        <f t="shared" si="8"/>
        <v>49368</v>
      </c>
      <c r="W47" s="111">
        <f t="shared" si="9"/>
        <v>14909.1</v>
      </c>
      <c r="X47" s="68">
        <f t="shared" si="10"/>
        <v>771325.6</v>
      </c>
      <c r="Y47" s="68">
        <f t="shared" si="11"/>
        <v>403403.3</v>
      </c>
      <c r="Z47" s="68">
        <f t="shared" si="12"/>
        <v>785062.6</v>
      </c>
      <c r="AA47" s="68">
        <f t="shared" si="13"/>
        <v>163554.70000000001</v>
      </c>
      <c r="AB47" s="113">
        <f t="shared" si="14"/>
        <v>4873930.4000000004</v>
      </c>
      <c r="AC47" s="113">
        <f t="shared" si="15"/>
        <v>3068988.9</v>
      </c>
      <c r="AD47" s="113">
        <f t="shared" si="16"/>
        <v>1804941.5</v>
      </c>
      <c r="AE47" s="78">
        <f t="shared" si="17"/>
        <v>6829738.5</v>
      </c>
      <c r="AF47" s="102">
        <v>4917800</v>
      </c>
      <c r="AG47" s="102">
        <v>1911938.49</v>
      </c>
      <c r="AH47" s="72">
        <f t="shared" si="18"/>
        <v>-1955808.1</v>
      </c>
    </row>
    <row r="48" spans="1:34" hidden="1" x14ac:dyDescent="0.25">
      <c r="A48" s="59">
        <v>118</v>
      </c>
      <c r="B48" s="73" t="s">
        <v>92</v>
      </c>
      <c r="C48" s="74">
        <v>17</v>
      </c>
      <c r="D48" s="75">
        <v>0</v>
      </c>
      <c r="E48" s="62">
        <f t="shared" si="0"/>
        <v>17</v>
      </c>
      <c r="F48" s="63">
        <v>1.1200000000000001</v>
      </c>
      <c r="G48" s="76">
        <f t="shared" si="1"/>
        <v>19.04</v>
      </c>
      <c r="H48" s="77">
        <v>1980</v>
      </c>
      <c r="I48" s="63">
        <v>1</v>
      </c>
      <c r="J48" s="63">
        <v>1.1000000000000001</v>
      </c>
      <c r="K48" s="65">
        <f t="shared" si="2"/>
        <v>1.06E-2</v>
      </c>
      <c r="L48" s="65">
        <v>1</v>
      </c>
      <c r="M48" s="65"/>
      <c r="N48" s="66">
        <f t="shared" si="4"/>
        <v>19796</v>
      </c>
      <c r="O48" s="64">
        <v>1.8</v>
      </c>
      <c r="P48" s="7">
        <v>2.2000000000000002</v>
      </c>
      <c r="Q48" s="64">
        <v>1.302</v>
      </c>
      <c r="R48" s="67">
        <f t="shared" si="5"/>
        <v>1224799.1000000001</v>
      </c>
      <c r="S48" s="68">
        <f t="shared" si="6"/>
        <v>12982.9</v>
      </c>
      <c r="T48" s="69">
        <f t="shared" si="7"/>
        <v>2E-3</v>
      </c>
      <c r="U48" s="7">
        <v>22440</v>
      </c>
      <c r="V48" s="7">
        <f t="shared" si="8"/>
        <v>49368</v>
      </c>
      <c r="W48" s="7">
        <f t="shared" si="9"/>
        <v>14909.1</v>
      </c>
      <c r="X48" s="7">
        <f t="shared" si="10"/>
        <v>771325.6</v>
      </c>
      <c r="Y48" s="70">
        <f t="shared" si="11"/>
        <v>1542.7</v>
      </c>
      <c r="Z48" s="67">
        <f t="shared" si="12"/>
        <v>2905.1</v>
      </c>
      <c r="AA48" s="67">
        <f t="shared" si="13"/>
        <v>605.20000000000005</v>
      </c>
      <c r="AB48" s="71">
        <f t="shared" si="14"/>
        <v>18035.900000000001</v>
      </c>
      <c r="AC48" s="71">
        <f t="shared" si="15"/>
        <v>11356.7</v>
      </c>
      <c r="AD48" s="71">
        <f t="shared" si="16"/>
        <v>6679.2</v>
      </c>
      <c r="AE48" s="78">
        <f t="shared" si="17"/>
        <v>31574</v>
      </c>
      <c r="AF48" s="79">
        <v>22962.45</v>
      </c>
      <c r="AG48" s="79">
        <v>8611.58</v>
      </c>
      <c r="AH48" s="72">
        <f t="shared" si="18"/>
        <v>-13538.1</v>
      </c>
    </row>
    <row r="49" spans="1:34" hidden="1" x14ac:dyDescent="0.25">
      <c r="A49" s="59">
        <v>118</v>
      </c>
      <c r="B49" s="73" t="s">
        <v>93</v>
      </c>
      <c r="C49" s="74">
        <v>4.67</v>
      </c>
      <c r="D49" s="75">
        <v>0</v>
      </c>
      <c r="E49" s="62">
        <f t="shared" si="0"/>
        <v>4.67</v>
      </c>
      <c r="F49" s="63">
        <v>1.1200000000000001</v>
      </c>
      <c r="G49" s="76">
        <f t="shared" si="1"/>
        <v>5.23</v>
      </c>
      <c r="H49" s="77">
        <v>1980</v>
      </c>
      <c r="I49" s="63">
        <v>1</v>
      </c>
      <c r="J49" s="63">
        <v>1.1000000000000001</v>
      </c>
      <c r="K49" s="65">
        <f t="shared" si="2"/>
        <v>2.8999999999999998E-3</v>
      </c>
      <c r="L49" s="65">
        <v>1</v>
      </c>
      <c r="M49" s="65"/>
      <c r="N49" s="66">
        <f t="shared" si="4"/>
        <v>19796</v>
      </c>
      <c r="O49" s="64">
        <v>1.8</v>
      </c>
      <c r="P49" s="7">
        <v>2.2000000000000002</v>
      </c>
      <c r="Q49" s="64">
        <v>1.302</v>
      </c>
      <c r="R49" s="67">
        <f t="shared" si="5"/>
        <v>1224799.1000000001</v>
      </c>
      <c r="S49" s="68">
        <f t="shared" si="6"/>
        <v>3551.9</v>
      </c>
      <c r="T49" s="69">
        <f t="shared" si="7"/>
        <v>1E-3</v>
      </c>
      <c r="U49" s="7">
        <v>22440</v>
      </c>
      <c r="V49" s="7">
        <f t="shared" si="8"/>
        <v>49368</v>
      </c>
      <c r="W49" s="7">
        <f t="shared" si="9"/>
        <v>14909.1</v>
      </c>
      <c r="X49" s="7">
        <f t="shared" si="10"/>
        <v>771325.6</v>
      </c>
      <c r="Y49" s="70">
        <f t="shared" si="11"/>
        <v>771.3</v>
      </c>
      <c r="Z49" s="67">
        <f t="shared" si="12"/>
        <v>864.6</v>
      </c>
      <c r="AA49" s="67">
        <f t="shared" si="13"/>
        <v>180.1</v>
      </c>
      <c r="AB49" s="71">
        <f t="shared" si="14"/>
        <v>5367.9</v>
      </c>
      <c r="AC49" s="71">
        <f t="shared" si="15"/>
        <v>3380</v>
      </c>
      <c r="AD49" s="71">
        <f t="shared" si="16"/>
        <v>1987.9</v>
      </c>
      <c r="AE49" s="78">
        <f t="shared" si="17"/>
        <v>12278.8</v>
      </c>
      <c r="AF49" s="79">
        <v>8929.84</v>
      </c>
      <c r="AG49" s="79">
        <v>3348.95</v>
      </c>
      <c r="AH49" s="72">
        <f t="shared" si="18"/>
        <v>-6910.9</v>
      </c>
    </row>
    <row r="50" spans="1:34" hidden="1" x14ac:dyDescent="0.25">
      <c r="A50" s="59">
        <v>118</v>
      </c>
      <c r="B50" s="73" t="s">
        <v>94</v>
      </c>
      <c r="C50" s="74">
        <v>10.67</v>
      </c>
      <c r="D50" s="75">
        <v>0</v>
      </c>
      <c r="E50" s="62">
        <f t="shared" si="0"/>
        <v>10.67</v>
      </c>
      <c r="F50" s="63">
        <v>1.1200000000000001</v>
      </c>
      <c r="G50" s="76">
        <f t="shared" si="1"/>
        <v>11.95</v>
      </c>
      <c r="H50" s="77">
        <v>1980</v>
      </c>
      <c r="I50" s="63">
        <v>1</v>
      </c>
      <c r="J50" s="63">
        <v>1.1000000000000001</v>
      </c>
      <c r="K50" s="65">
        <f t="shared" si="2"/>
        <v>6.6E-3</v>
      </c>
      <c r="L50" s="65">
        <v>1</v>
      </c>
      <c r="M50" s="65"/>
      <c r="N50" s="66">
        <f t="shared" si="4"/>
        <v>19796</v>
      </c>
      <c r="O50" s="64">
        <v>1.8</v>
      </c>
      <c r="P50" s="7">
        <v>2.2000000000000002</v>
      </c>
      <c r="Q50" s="64">
        <v>1.302</v>
      </c>
      <c r="R50" s="67">
        <f t="shared" si="5"/>
        <v>1224799.1000000001</v>
      </c>
      <c r="S50" s="68">
        <f t="shared" si="6"/>
        <v>8083.7</v>
      </c>
      <c r="T50" s="69">
        <f t="shared" si="7"/>
        <v>1E-3</v>
      </c>
      <c r="U50" s="7">
        <v>22440</v>
      </c>
      <c r="V50" s="7">
        <f t="shared" si="8"/>
        <v>49368</v>
      </c>
      <c r="W50" s="7">
        <f t="shared" si="9"/>
        <v>14909.1</v>
      </c>
      <c r="X50" s="7">
        <f t="shared" si="10"/>
        <v>771325.6</v>
      </c>
      <c r="Y50" s="70">
        <f t="shared" si="11"/>
        <v>771.3</v>
      </c>
      <c r="Z50" s="67">
        <f t="shared" si="12"/>
        <v>1771</v>
      </c>
      <c r="AA50" s="67">
        <f t="shared" si="13"/>
        <v>369</v>
      </c>
      <c r="AB50" s="71">
        <f t="shared" si="14"/>
        <v>10995</v>
      </c>
      <c r="AC50" s="71">
        <f t="shared" si="15"/>
        <v>6923.3</v>
      </c>
      <c r="AD50" s="71">
        <f t="shared" si="16"/>
        <v>4071.7</v>
      </c>
      <c r="AE50" s="78">
        <f t="shared" si="17"/>
        <v>21049.4</v>
      </c>
      <c r="AF50" s="79">
        <v>15308.3</v>
      </c>
      <c r="AG50" s="79">
        <v>5741.05</v>
      </c>
      <c r="AH50" s="72">
        <f t="shared" si="18"/>
        <v>-10054.4</v>
      </c>
    </row>
    <row r="51" spans="1:34" hidden="1" x14ac:dyDescent="0.25">
      <c r="A51" s="59">
        <v>118</v>
      </c>
      <c r="B51" s="73" t="s">
        <v>95</v>
      </c>
      <c r="C51" s="74">
        <v>7.67</v>
      </c>
      <c r="D51" s="75">
        <v>0</v>
      </c>
      <c r="E51" s="62">
        <f t="shared" si="0"/>
        <v>7.67</v>
      </c>
      <c r="F51" s="63">
        <v>1.1200000000000001</v>
      </c>
      <c r="G51" s="76">
        <f t="shared" si="1"/>
        <v>8.59</v>
      </c>
      <c r="H51" s="77">
        <v>1980</v>
      </c>
      <c r="I51" s="63">
        <v>1</v>
      </c>
      <c r="J51" s="63">
        <v>1.1000000000000001</v>
      </c>
      <c r="K51" s="65">
        <f t="shared" si="2"/>
        <v>4.7999999999999996E-3</v>
      </c>
      <c r="L51" s="65">
        <v>1</v>
      </c>
      <c r="M51" s="65"/>
      <c r="N51" s="66">
        <f t="shared" si="4"/>
        <v>19796</v>
      </c>
      <c r="O51" s="64">
        <v>1.8</v>
      </c>
      <c r="P51" s="7">
        <v>2.2000000000000002</v>
      </c>
      <c r="Q51" s="64">
        <v>1.302</v>
      </c>
      <c r="R51" s="67">
        <f t="shared" si="5"/>
        <v>1224799.1000000001</v>
      </c>
      <c r="S51" s="68">
        <f t="shared" si="6"/>
        <v>5879</v>
      </c>
      <c r="T51" s="69">
        <f t="shared" si="7"/>
        <v>1E-3</v>
      </c>
      <c r="U51" s="7">
        <v>22440</v>
      </c>
      <c r="V51" s="7">
        <f t="shared" si="8"/>
        <v>49368</v>
      </c>
      <c r="W51" s="7">
        <f t="shared" si="9"/>
        <v>14909.1</v>
      </c>
      <c r="X51" s="7">
        <f t="shared" si="10"/>
        <v>771325.6</v>
      </c>
      <c r="Y51" s="70">
        <f t="shared" si="11"/>
        <v>771.3</v>
      </c>
      <c r="Z51" s="67">
        <f t="shared" si="12"/>
        <v>1330.1</v>
      </c>
      <c r="AA51" s="67">
        <f t="shared" si="13"/>
        <v>277.10000000000002</v>
      </c>
      <c r="AB51" s="71">
        <f t="shared" si="14"/>
        <v>8257.5</v>
      </c>
      <c r="AC51" s="71">
        <f t="shared" si="15"/>
        <v>5199.5</v>
      </c>
      <c r="AD51" s="71">
        <f t="shared" si="16"/>
        <v>3058</v>
      </c>
      <c r="AE51" s="78">
        <f t="shared" si="17"/>
        <v>15787</v>
      </c>
      <c r="AF51" s="79">
        <v>11481.22</v>
      </c>
      <c r="AG51" s="79">
        <v>4305.79</v>
      </c>
      <c r="AH51" s="72">
        <f t="shared" si="18"/>
        <v>-7529.5</v>
      </c>
    </row>
    <row r="52" spans="1:34" hidden="1" x14ac:dyDescent="0.25">
      <c r="A52" s="59">
        <v>118</v>
      </c>
      <c r="B52" s="73" t="s">
        <v>96</v>
      </c>
      <c r="C52" s="74">
        <v>11.33</v>
      </c>
      <c r="D52" s="75">
        <v>0</v>
      </c>
      <c r="E52" s="62">
        <f t="shared" si="0"/>
        <v>11.33</v>
      </c>
      <c r="F52" s="63">
        <v>1.1200000000000001</v>
      </c>
      <c r="G52" s="76">
        <f t="shared" si="1"/>
        <v>12.69</v>
      </c>
      <c r="H52" s="77">
        <v>1980</v>
      </c>
      <c r="I52" s="63">
        <v>1</v>
      </c>
      <c r="J52" s="63">
        <v>1.1000000000000001</v>
      </c>
      <c r="K52" s="65">
        <f t="shared" si="2"/>
        <v>7.1000000000000004E-3</v>
      </c>
      <c r="L52" s="65">
        <v>1</v>
      </c>
      <c r="M52" s="65"/>
      <c r="N52" s="66">
        <f t="shared" si="4"/>
        <v>19796</v>
      </c>
      <c r="O52" s="64">
        <v>1.8</v>
      </c>
      <c r="P52" s="7">
        <v>2.2000000000000002</v>
      </c>
      <c r="Q52" s="64">
        <v>1.302</v>
      </c>
      <c r="R52" s="67">
        <f t="shared" si="5"/>
        <v>1224799.1000000001</v>
      </c>
      <c r="S52" s="68">
        <f t="shared" si="6"/>
        <v>8696.1</v>
      </c>
      <c r="T52" s="69">
        <f t="shared" si="7"/>
        <v>1E-3</v>
      </c>
      <c r="U52" s="7">
        <v>22440</v>
      </c>
      <c r="V52" s="7">
        <f t="shared" si="8"/>
        <v>49368</v>
      </c>
      <c r="W52" s="7">
        <f t="shared" si="9"/>
        <v>14909.1</v>
      </c>
      <c r="X52" s="7">
        <f t="shared" si="10"/>
        <v>771325.6</v>
      </c>
      <c r="Y52" s="70">
        <f t="shared" si="11"/>
        <v>771.3</v>
      </c>
      <c r="Z52" s="67">
        <f t="shared" si="12"/>
        <v>1893.5</v>
      </c>
      <c r="AA52" s="67">
        <f t="shared" si="13"/>
        <v>394.5</v>
      </c>
      <c r="AB52" s="71">
        <f t="shared" si="14"/>
        <v>11755.4</v>
      </c>
      <c r="AC52" s="71">
        <f t="shared" si="15"/>
        <v>7402.1</v>
      </c>
      <c r="AD52" s="71">
        <f t="shared" si="16"/>
        <v>4353.3</v>
      </c>
      <c r="AE52" s="78">
        <f t="shared" si="17"/>
        <v>40344.6</v>
      </c>
      <c r="AF52" s="79">
        <v>29340.9</v>
      </c>
      <c r="AG52" s="79">
        <v>11003.69</v>
      </c>
      <c r="AH52" s="72">
        <f t="shared" si="18"/>
        <v>-28589.200000000001</v>
      </c>
    </row>
    <row r="53" spans="1:34" hidden="1" x14ac:dyDescent="0.25">
      <c r="A53" s="59">
        <v>118</v>
      </c>
      <c r="B53" s="73" t="s">
        <v>97</v>
      </c>
      <c r="C53" s="74">
        <v>141.33000000000001</v>
      </c>
      <c r="D53" s="75">
        <v>0</v>
      </c>
      <c r="E53" s="62">
        <f t="shared" si="0"/>
        <v>141.33000000000001</v>
      </c>
      <c r="F53" s="63">
        <v>1.1200000000000001</v>
      </c>
      <c r="G53" s="76">
        <f t="shared" si="1"/>
        <v>158.29</v>
      </c>
      <c r="H53" s="77">
        <v>1980</v>
      </c>
      <c r="I53" s="63">
        <v>1</v>
      </c>
      <c r="J53" s="63">
        <v>1.1000000000000001</v>
      </c>
      <c r="K53" s="65">
        <f t="shared" si="2"/>
        <v>8.7900000000000006E-2</v>
      </c>
      <c r="L53" s="65">
        <v>1</v>
      </c>
      <c r="M53" s="65"/>
      <c r="N53" s="66">
        <f t="shared" si="4"/>
        <v>19796</v>
      </c>
      <c r="O53" s="64">
        <v>1.8</v>
      </c>
      <c r="P53" s="7">
        <v>2.2000000000000002</v>
      </c>
      <c r="Q53" s="64">
        <v>1.302</v>
      </c>
      <c r="R53" s="67">
        <f t="shared" si="5"/>
        <v>1224799.1000000001</v>
      </c>
      <c r="S53" s="68">
        <f t="shared" si="6"/>
        <v>107659.8</v>
      </c>
      <c r="T53" s="69">
        <f t="shared" si="7"/>
        <v>1.6E-2</v>
      </c>
      <c r="U53" s="7">
        <v>22440</v>
      </c>
      <c r="V53" s="7">
        <f t="shared" si="8"/>
        <v>49368</v>
      </c>
      <c r="W53" s="7">
        <f t="shared" si="9"/>
        <v>14909.1</v>
      </c>
      <c r="X53" s="7">
        <f t="shared" si="10"/>
        <v>771325.6</v>
      </c>
      <c r="Y53" s="70">
        <f t="shared" si="11"/>
        <v>12341.2</v>
      </c>
      <c r="Z53" s="67">
        <f t="shared" si="12"/>
        <v>24000.2</v>
      </c>
      <c r="AA53" s="67">
        <f t="shared" si="13"/>
        <v>5000</v>
      </c>
      <c r="AB53" s="71">
        <f t="shared" si="14"/>
        <v>149001.20000000001</v>
      </c>
      <c r="AC53" s="71">
        <f t="shared" si="15"/>
        <v>93822.2</v>
      </c>
      <c r="AD53" s="71">
        <f t="shared" si="16"/>
        <v>55179</v>
      </c>
      <c r="AE53" s="78">
        <f t="shared" si="17"/>
        <v>285920.40000000002</v>
      </c>
      <c r="AF53" s="79">
        <v>207937.7</v>
      </c>
      <c r="AG53" s="79">
        <v>77982.649999999994</v>
      </c>
      <c r="AH53" s="72">
        <f t="shared" si="18"/>
        <v>-136919.20000000001</v>
      </c>
    </row>
    <row r="54" spans="1:34" hidden="1" x14ac:dyDescent="0.25">
      <c r="A54" s="59">
        <v>118</v>
      </c>
      <c r="B54" s="73" t="s">
        <v>98</v>
      </c>
      <c r="C54" s="74">
        <v>2.33</v>
      </c>
      <c r="D54" s="75">
        <v>0</v>
      </c>
      <c r="E54" s="62">
        <f t="shared" si="0"/>
        <v>2.33</v>
      </c>
      <c r="F54" s="63">
        <v>1.1200000000000001</v>
      </c>
      <c r="G54" s="76">
        <f t="shared" si="1"/>
        <v>2.61</v>
      </c>
      <c r="H54" s="77">
        <v>1980</v>
      </c>
      <c r="I54" s="63">
        <v>1</v>
      </c>
      <c r="J54" s="63">
        <v>1.1000000000000001</v>
      </c>
      <c r="K54" s="65">
        <f t="shared" si="2"/>
        <v>1.5E-3</v>
      </c>
      <c r="L54" s="65">
        <v>1</v>
      </c>
      <c r="M54" s="65"/>
      <c r="N54" s="66">
        <f t="shared" si="4"/>
        <v>19796</v>
      </c>
      <c r="O54" s="64">
        <v>1.8</v>
      </c>
      <c r="P54" s="7">
        <v>2.2000000000000002</v>
      </c>
      <c r="Q54" s="64">
        <v>1.302</v>
      </c>
      <c r="R54" s="67">
        <f t="shared" si="5"/>
        <v>1224799.1000000001</v>
      </c>
      <c r="S54" s="68">
        <f t="shared" si="6"/>
        <v>1837.2</v>
      </c>
      <c r="T54" s="69">
        <f t="shared" si="7"/>
        <v>0</v>
      </c>
      <c r="U54" s="7">
        <v>22440</v>
      </c>
      <c r="V54" s="7">
        <f t="shared" si="8"/>
        <v>49368</v>
      </c>
      <c r="W54" s="7">
        <f t="shared" si="9"/>
        <v>14909.1</v>
      </c>
      <c r="X54" s="7">
        <f t="shared" si="10"/>
        <v>771325.6</v>
      </c>
      <c r="Y54" s="70">
        <f t="shared" si="11"/>
        <v>0</v>
      </c>
      <c r="Z54" s="67">
        <f t="shared" si="12"/>
        <v>367.4</v>
      </c>
      <c r="AA54" s="67">
        <f t="shared" si="13"/>
        <v>76.5</v>
      </c>
      <c r="AB54" s="71">
        <f t="shared" si="14"/>
        <v>2281.1</v>
      </c>
      <c r="AC54" s="71">
        <f t="shared" si="15"/>
        <v>1436.4</v>
      </c>
      <c r="AD54" s="71">
        <f t="shared" si="16"/>
        <v>844.7</v>
      </c>
      <c r="AE54" s="78">
        <f t="shared" si="17"/>
        <v>5262.3</v>
      </c>
      <c r="AF54" s="79">
        <v>3827.07</v>
      </c>
      <c r="AG54" s="79">
        <v>1435.26</v>
      </c>
      <c r="AH54" s="72">
        <f t="shared" si="18"/>
        <v>-2981.2</v>
      </c>
    </row>
    <row r="55" spans="1:34" s="100" customFormat="1" hidden="1" x14ac:dyDescent="0.25">
      <c r="A55" s="101">
        <v>119</v>
      </c>
      <c r="B55" s="103" t="s">
        <v>99</v>
      </c>
      <c r="C55" s="104">
        <v>176.33</v>
      </c>
      <c r="D55" s="102">
        <v>4204</v>
      </c>
      <c r="E55" s="105">
        <f t="shared" si="0"/>
        <v>4380.33</v>
      </c>
      <c r="F55" s="63">
        <v>1.1200000000000001</v>
      </c>
      <c r="G55" s="106">
        <f t="shared" si="1"/>
        <v>4905.97</v>
      </c>
      <c r="H55" s="107">
        <v>1980</v>
      </c>
      <c r="I55" s="108">
        <v>1</v>
      </c>
      <c r="J55" s="108">
        <v>1.1000000000000001</v>
      </c>
      <c r="K55" s="109">
        <f t="shared" si="2"/>
        <v>2.7254999999999998</v>
      </c>
      <c r="L55" s="109">
        <v>3</v>
      </c>
      <c r="M55" s="109">
        <f>K55-L55</f>
        <v>-0.27450000000000002</v>
      </c>
      <c r="N55" s="66">
        <f t="shared" si="4"/>
        <v>19796</v>
      </c>
      <c r="O55" s="110">
        <v>1.8</v>
      </c>
      <c r="P55" s="111">
        <v>2.2000000000000002</v>
      </c>
      <c r="Q55" s="110">
        <v>1.302</v>
      </c>
      <c r="R55" s="111">
        <f t="shared" si="5"/>
        <v>1224799.1000000001</v>
      </c>
      <c r="S55" s="111">
        <f t="shared" si="6"/>
        <v>3338189.9</v>
      </c>
      <c r="T55" s="112">
        <f t="shared" si="7"/>
        <v>0.496</v>
      </c>
      <c r="U55" s="7">
        <v>22440</v>
      </c>
      <c r="V55" s="68">
        <f t="shared" si="8"/>
        <v>49368</v>
      </c>
      <c r="W55" s="111">
        <f t="shared" si="9"/>
        <v>14909.1</v>
      </c>
      <c r="X55" s="68">
        <f t="shared" si="10"/>
        <v>771325.6</v>
      </c>
      <c r="Y55" s="68">
        <f t="shared" si="11"/>
        <v>382577.5</v>
      </c>
      <c r="Z55" s="68">
        <f t="shared" si="12"/>
        <v>744153.5</v>
      </c>
      <c r="AA55" s="68">
        <f t="shared" si="13"/>
        <v>155032</v>
      </c>
      <c r="AB55" s="113">
        <f t="shared" si="14"/>
        <v>4619952.9000000004</v>
      </c>
      <c r="AC55" s="113">
        <f t="shared" si="15"/>
        <v>2909065.8</v>
      </c>
      <c r="AD55" s="113">
        <f t="shared" si="16"/>
        <v>1710887.1</v>
      </c>
      <c r="AE55" s="78">
        <f t="shared" si="17"/>
        <v>6829738.5</v>
      </c>
      <c r="AF55" s="102">
        <v>4917800</v>
      </c>
      <c r="AG55" s="102">
        <v>1911938.49</v>
      </c>
      <c r="AH55" s="72">
        <f t="shared" si="18"/>
        <v>-2209785.6</v>
      </c>
    </row>
    <row r="56" spans="1:34" hidden="1" x14ac:dyDescent="0.25">
      <c r="A56" s="59">
        <v>119</v>
      </c>
      <c r="B56" s="73" t="s">
        <v>100</v>
      </c>
      <c r="C56" s="74">
        <v>27</v>
      </c>
      <c r="D56" s="75">
        <v>0</v>
      </c>
      <c r="E56" s="62">
        <f t="shared" si="0"/>
        <v>27</v>
      </c>
      <c r="F56" s="63">
        <v>1.1200000000000001</v>
      </c>
      <c r="G56" s="76">
        <f t="shared" si="1"/>
        <v>30.24</v>
      </c>
      <c r="H56" s="77">
        <v>1980</v>
      </c>
      <c r="I56" s="63">
        <v>1</v>
      </c>
      <c r="J56" s="63">
        <v>1.1000000000000001</v>
      </c>
      <c r="K56" s="65">
        <f t="shared" si="2"/>
        <v>1.6799999999999999E-2</v>
      </c>
      <c r="L56" s="65">
        <v>1</v>
      </c>
      <c r="M56" s="65"/>
      <c r="N56" s="66">
        <f t="shared" si="4"/>
        <v>19796</v>
      </c>
      <c r="O56" s="64">
        <v>1.8</v>
      </c>
      <c r="P56" s="7">
        <v>2.2000000000000002</v>
      </c>
      <c r="Q56" s="64">
        <v>1.302</v>
      </c>
      <c r="R56" s="67">
        <f t="shared" si="5"/>
        <v>1224799.1000000001</v>
      </c>
      <c r="S56" s="68">
        <f t="shared" si="6"/>
        <v>20576.599999999999</v>
      </c>
      <c r="T56" s="69">
        <f t="shared" si="7"/>
        <v>3.0000000000000001E-3</v>
      </c>
      <c r="U56" s="7">
        <v>22440</v>
      </c>
      <c r="V56" s="7">
        <f t="shared" si="8"/>
        <v>49368</v>
      </c>
      <c r="W56" s="7">
        <f t="shared" si="9"/>
        <v>14909.1</v>
      </c>
      <c r="X56" s="7">
        <f t="shared" si="10"/>
        <v>771325.6</v>
      </c>
      <c r="Y56" s="70">
        <f t="shared" si="11"/>
        <v>2314</v>
      </c>
      <c r="Z56" s="67">
        <f t="shared" si="12"/>
        <v>4578.1000000000004</v>
      </c>
      <c r="AA56" s="67">
        <f t="shared" si="13"/>
        <v>953.8</v>
      </c>
      <c r="AB56" s="71">
        <f t="shared" si="14"/>
        <v>28422.5</v>
      </c>
      <c r="AC56" s="71">
        <f t="shared" si="15"/>
        <v>17896.900000000001</v>
      </c>
      <c r="AD56" s="71">
        <f t="shared" si="16"/>
        <v>10525.6</v>
      </c>
      <c r="AE56" s="78">
        <f t="shared" si="17"/>
        <v>49115.199999999997</v>
      </c>
      <c r="AF56" s="79">
        <v>35719.360000000001</v>
      </c>
      <c r="AG56" s="79">
        <v>13395.79</v>
      </c>
      <c r="AH56" s="72">
        <f t="shared" si="18"/>
        <v>-20692.7</v>
      </c>
    </row>
    <row r="57" spans="1:34" hidden="1" x14ac:dyDescent="0.25">
      <c r="A57" s="59">
        <v>119</v>
      </c>
      <c r="B57" s="73" t="s">
        <v>101</v>
      </c>
      <c r="C57" s="74">
        <v>35.67</v>
      </c>
      <c r="D57" s="75">
        <v>0</v>
      </c>
      <c r="E57" s="62">
        <f t="shared" si="0"/>
        <v>35.67</v>
      </c>
      <c r="F57" s="63">
        <v>1.1200000000000001</v>
      </c>
      <c r="G57" s="76">
        <f t="shared" si="1"/>
        <v>39.950000000000003</v>
      </c>
      <c r="H57" s="77">
        <v>1980</v>
      </c>
      <c r="I57" s="63">
        <v>1</v>
      </c>
      <c r="J57" s="63">
        <v>1.1000000000000001</v>
      </c>
      <c r="K57" s="65">
        <f t="shared" si="2"/>
        <v>2.2200000000000001E-2</v>
      </c>
      <c r="L57" s="65">
        <v>1</v>
      </c>
      <c r="M57" s="65"/>
      <c r="N57" s="66">
        <f t="shared" si="4"/>
        <v>19796</v>
      </c>
      <c r="O57" s="64">
        <v>1.8</v>
      </c>
      <c r="P57" s="7">
        <v>2.2000000000000002</v>
      </c>
      <c r="Q57" s="64">
        <v>1.302</v>
      </c>
      <c r="R57" s="67">
        <f t="shared" si="5"/>
        <v>1224799.1000000001</v>
      </c>
      <c r="S57" s="68">
        <f t="shared" si="6"/>
        <v>27190.5</v>
      </c>
      <c r="T57" s="69">
        <f t="shared" si="7"/>
        <v>4.0000000000000001E-3</v>
      </c>
      <c r="U57" s="7">
        <v>22440</v>
      </c>
      <c r="V57" s="7">
        <f t="shared" si="8"/>
        <v>49368</v>
      </c>
      <c r="W57" s="7">
        <f t="shared" si="9"/>
        <v>14909.1</v>
      </c>
      <c r="X57" s="7">
        <f t="shared" si="10"/>
        <v>771325.6</v>
      </c>
      <c r="Y57" s="70">
        <f t="shared" si="11"/>
        <v>3085.3</v>
      </c>
      <c r="Z57" s="67">
        <f t="shared" si="12"/>
        <v>6055.2</v>
      </c>
      <c r="AA57" s="67">
        <f t="shared" si="13"/>
        <v>1261.5</v>
      </c>
      <c r="AB57" s="71">
        <f t="shared" si="14"/>
        <v>37592.5</v>
      </c>
      <c r="AC57" s="71">
        <f t="shared" si="15"/>
        <v>23671</v>
      </c>
      <c r="AD57" s="71">
        <f t="shared" si="16"/>
        <v>13921.5</v>
      </c>
      <c r="AE57" s="78">
        <f t="shared" si="17"/>
        <v>71918.600000000006</v>
      </c>
      <c r="AF57" s="79">
        <v>52303.35</v>
      </c>
      <c r="AG57" s="79">
        <v>19615.27</v>
      </c>
      <c r="AH57" s="72">
        <f t="shared" si="18"/>
        <v>-34326.1</v>
      </c>
    </row>
    <row r="58" spans="1:34" hidden="1" x14ac:dyDescent="0.25">
      <c r="A58" s="59">
        <v>119</v>
      </c>
      <c r="B58" s="73" t="s">
        <v>102</v>
      </c>
      <c r="C58" s="74">
        <v>70.67</v>
      </c>
      <c r="D58" s="75">
        <v>0</v>
      </c>
      <c r="E58" s="62">
        <f t="shared" si="0"/>
        <v>70.67</v>
      </c>
      <c r="F58" s="63">
        <v>1.1200000000000001</v>
      </c>
      <c r="G58" s="76">
        <f t="shared" si="1"/>
        <v>79.150000000000006</v>
      </c>
      <c r="H58" s="77">
        <v>1980</v>
      </c>
      <c r="I58" s="63">
        <v>1</v>
      </c>
      <c r="J58" s="63">
        <v>1.1000000000000001</v>
      </c>
      <c r="K58" s="65">
        <f t="shared" si="2"/>
        <v>4.3999999999999997E-2</v>
      </c>
      <c r="L58" s="65">
        <v>1</v>
      </c>
      <c r="M58" s="65"/>
      <c r="N58" s="66">
        <f t="shared" si="4"/>
        <v>19796</v>
      </c>
      <c r="O58" s="64">
        <v>1.8</v>
      </c>
      <c r="P58" s="7">
        <v>2.2000000000000002</v>
      </c>
      <c r="Q58" s="64">
        <v>1.302</v>
      </c>
      <c r="R58" s="67">
        <f t="shared" si="5"/>
        <v>1224799.1000000001</v>
      </c>
      <c r="S58" s="68">
        <f t="shared" si="6"/>
        <v>53891.199999999997</v>
      </c>
      <c r="T58" s="69">
        <f t="shared" si="7"/>
        <v>8.0000000000000002E-3</v>
      </c>
      <c r="U58" s="7">
        <v>22440</v>
      </c>
      <c r="V58" s="7">
        <f t="shared" si="8"/>
        <v>49368</v>
      </c>
      <c r="W58" s="7">
        <f t="shared" si="9"/>
        <v>14909.1</v>
      </c>
      <c r="X58" s="7">
        <f t="shared" si="10"/>
        <v>771325.6</v>
      </c>
      <c r="Y58" s="70">
        <f t="shared" si="11"/>
        <v>6170.6</v>
      </c>
      <c r="Z58" s="67">
        <f t="shared" si="12"/>
        <v>12012.4</v>
      </c>
      <c r="AA58" s="67">
        <f t="shared" si="13"/>
        <v>2502.6</v>
      </c>
      <c r="AB58" s="71">
        <f t="shared" si="14"/>
        <v>74576.800000000003</v>
      </c>
      <c r="AC58" s="71">
        <f t="shared" si="15"/>
        <v>46959.1</v>
      </c>
      <c r="AD58" s="71">
        <f t="shared" si="16"/>
        <v>27617.7</v>
      </c>
      <c r="AE58" s="78">
        <f t="shared" si="17"/>
        <v>138574.9</v>
      </c>
      <c r="AF58" s="79">
        <v>100779.62</v>
      </c>
      <c r="AG58" s="79">
        <v>37795.269999999997</v>
      </c>
      <c r="AH58" s="72">
        <f t="shared" si="18"/>
        <v>-63998.1</v>
      </c>
    </row>
    <row r="59" spans="1:34" hidden="1" x14ac:dyDescent="0.25">
      <c r="A59" s="59">
        <v>119</v>
      </c>
      <c r="B59" s="73" t="s">
        <v>103</v>
      </c>
      <c r="C59" s="74">
        <v>234.33</v>
      </c>
      <c r="D59" s="75">
        <v>0</v>
      </c>
      <c r="E59" s="62">
        <f t="shared" si="0"/>
        <v>234.33</v>
      </c>
      <c r="F59" s="63">
        <v>1.1200000000000001</v>
      </c>
      <c r="G59" s="76">
        <f t="shared" si="1"/>
        <v>262.45</v>
      </c>
      <c r="H59" s="77">
        <v>1980</v>
      </c>
      <c r="I59" s="63">
        <v>1</v>
      </c>
      <c r="J59" s="63">
        <v>1.1000000000000001</v>
      </c>
      <c r="K59" s="65">
        <f t="shared" si="2"/>
        <v>0.14580000000000001</v>
      </c>
      <c r="L59" s="65">
        <v>1</v>
      </c>
      <c r="M59" s="65"/>
      <c r="N59" s="66">
        <f t="shared" si="4"/>
        <v>19796</v>
      </c>
      <c r="O59" s="64">
        <v>1.8</v>
      </c>
      <c r="P59" s="7">
        <v>2.2000000000000002</v>
      </c>
      <c r="Q59" s="64">
        <v>1.302</v>
      </c>
      <c r="R59" s="67">
        <f t="shared" si="5"/>
        <v>1224799.1000000001</v>
      </c>
      <c r="S59" s="68">
        <f t="shared" si="6"/>
        <v>178575.7</v>
      </c>
      <c r="T59" s="69">
        <f t="shared" si="7"/>
        <v>2.7E-2</v>
      </c>
      <c r="U59" s="7">
        <v>22440</v>
      </c>
      <c r="V59" s="7">
        <f t="shared" si="8"/>
        <v>49368</v>
      </c>
      <c r="W59" s="7">
        <f t="shared" si="9"/>
        <v>14909.1</v>
      </c>
      <c r="X59" s="7">
        <f t="shared" si="10"/>
        <v>771325.6</v>
      </c>
      <c r="Y59" s="70">
        <f t="shared" si="11"/>
        <v>20825.8</v>
      </c>
      <c r="Z59" s="67">
        <f t="shared" si="12"/>
        <v>39880.300000000003</v>
      </c>
      <c r="AA59" s="67">
        <f t="shared" si="13"/>
        <v>8308.4</v>
      </c>
      <c r="AB59" s="71">
        <f t="shared" si="14"/>
        <v>247590.2</v>
      </c>
      <c r="AC59" s="71">
        <f t="shared" si="15"/>
        <v>155901.20000000001</v>
      </c>
      <c r="AD59" s="71">
        <f t="shared" si="16"/>
        <v>91689</v>
      </c>
      <c r="AE59" s="78">
        <f t="shared" si="17"/>
        <v>438528.2</v>
      </c>
      <c r="AF59" s="79">
        <v>318922.84999999998</v>
      </c>
      <c r="AG59" s="79">
        <v>119605.3</v>
      </c>
      <c r="AH59" s="72">
        <f t="shared" si="18"/>
        <v>-190938</v>
      </c>
    </row>
    <row r="60" spans="1:34" hidden="1" x14ac:dyDescent="0.25">
      <c r="A60" s="59">
        <v>119</v>
      </c>
      <c r="B60" s="73" t="s">
        <v>104</v>
      </c>
      <c r="C60" s="74">
        <v>30.67</v>
      </c>
      <c r="D60" s="75">
        <v>0</v>
      </c>
      <c r="E60" s="62">
        <f t="shared" si="0"/>
        <v>30.67</v>
      </c>
      <c r="F60" s="63">
        <v>1.1200000000000001</v>
      </c>
      <c r="G60" s="76">
        <f t="shared" si="1"/>
        <v>34.35</v>
      </c>
      <c r="H60" s="77">
        <v>1980</v>
      </c>
      <c r="I60" s="63">
        <v>1</v>
      </c>
      <c r="J60" s="63">
        <v>1.1000000000000001</v>
      </c>
      <c r="K60" s="65">
        <f t="shared" si="2"/>
        <v>1.9099999999999999E-2</v>
      </c>
      <c r="L60" s="65">
        <v>1</v>
      </c>
      <c r="M60" s="65"/>
      <c r="N60" s="66">
        <f t="shared" si="4"/>
        <v>19796</v>
      </c>
      <c r="O60" s="64">
        <v>1.8</v>
      </c>
      <c r="P60" s="7">
        <v>2.2000000000000002</v>
      </c>
      <c r="Q60" s="64">
        <v>1.302</v>
      </c>
      <c r="R60" s="67">
        <f t="shared" si="5"/>
        <v>1224799.1000000001</v>
      </c>
      <c r="S60" s="68">
        <f t="shared" si="6"/>
        <v>23393.7</v>
      </c>
      <c r="T60" s="69">
        <f t="shared" si="7"/>
        <v>3.0000000000000001E-3</v>
      </c>
      <c r="U60" s="7">
        <v>22440</v>
      </c>
      <c r="V60" s="7">
        <f t="shared" si="8"/>
        <v>49368</v>
      </c>
      <c r="W60" s="7">
        <f t="shared" si="9"/>
        <v>14909.1</v>
      </c>
      <c r="X60" s="7">
        <f t="shared" si="10"/>
        <v>771325.6</v>
      </c>
      <c r="Y60" s="70">
        <f t="shared" si="11"/>
        <v>2314</v>
      </c>
      <c r="Z60" s="67">
        <f t="shared" si="12"/>
        <v>5141.5</v>
      </c>
      <c r="AA60" s="67">
        <f t="shared" si="13"/>
        <v>1071.2</v>
      </c>
      <c r="AB60" s="71">
        <f t="shared" si="14"/>
        <v>31920.400000000001</v>
      </c>
      <c r="AC60" s="71">
        <f t="shared" si="15"/>
        <v>20099.5</v>
      </c>
      <c r="AD60" s="71">
        <f t="shared" si="16"/>
        <v>11820.9</v>
      </c>
      <c r="AE60" s="78">
        <f t="shared" si="17"/>
        <v>59639.8</v>
      </c>
      <c r="AF60" s="79">
        <v>43373.51</v>
      </c>
      <c r="AG60" s="79">
        <v>16266.32</v>
      </c>
      <c r="AH60" s="72">
        <f t="shared" si="18"/>
        <v>-27719.4</v>
      </c>
    </row>
    <row r="61" spans="1:34" hidden="1" x14ac:dyDescent="0.25">
      <c r="A61" s="59">
        <v>119</v>
      </c>
      <c r="B61" s="73" t="s">
        <v>105</v>
      </c>
      <c r="C61" s="74">
        <v>86.67</v>
      </c>
      <c r="D61" s="75">
        <v>0</v>
      </c>
      <c r="E61" s="62">
        <f t="shared" si="0"/>
        <v>86.67</v>
      </c>
      <c r="F61" s="63">
        <v>1.1200000000000001</v>
      </c>
      <c r="G61" s="76">
        <f t="shared" si="1"/>
        <v>97.07</v>
      </c>
      <c r="H61" s="77">
        <v>1980</v>
      </c>
      <c r="I61" s="63">
        <v>1</v>
      </c>
      <c r="J61" s="63">
        <v>1.1000000000000001</v>
      </c>
      <c r="K61" s="65">
        <f t="shared" si="2"/>
        <v>5.3900000000000003E-2</v>
      </c>
      <c r="L61" s="65">
        <v>1</v>
      </c>
      <c r="M61" s="65"/>
      <c r="N61" s="66">
        <f t="shared" si="4"/>
        <v>19796</v>
      </c>
      <c r="O61" s="64">
        <v>1.8</v>
      </c>
      <c r="P61" s="7">
        <v>2.2000000000000002</v>
      </c>
      <c r="Q61" s="64">
        <v>1.302</v>
      </c>
      <c r="R61" s="67">
        <f t="shared" si="5"/>
        <v>1224799.1000000001</v>
      </c>
      <c r="S61" s="68">
        <f t="shared" si="6"/>
        <v>66016.7</v>
      </c>
      <c r="T61" s="69">
        <f t="shared" si="7"/>
        <v>0.01</v>
      </c>
      <c r="U61" s="7">
        <v>22440</v>
      </c>
      <c r="V61" s="7">
        <f t="shared" si="8"/>
        <v>49368</v>
      </c>
      <c r="W61" s="7">
        <f t="shared" si="9"/>
        <v>14909.1</v>
      </c>
      <c r="X61" s="7">
        <f t="shared" si="10"/>
        <v>771325.6</v>
      </c>
      <c r="Y61" s="70">
        <f t="shared" si="11"/>
        <v>7713.3</v>
      </c>
      <c r="Z61" s="67">
        <f t="shared" si="12"/>
        <v>14746</v>
      </c>
      <c r="AA61" s="67">
        <f t="shared" si="13"/>
        <v>3072.1</v>
      </c>
      <c r="AB61" s="71">
        <f t="shared" si="14"/>
        <v>91548.1</v>
      </c>
      <c r="AC61" s="71">
        <f t="shared" si="15"/>
        <v>57645.5</v>
      </c>
      <c r="AD61" s="71">
        <f t="shared" si="16"/>
        <v>33902.6</v>
      </c>
      <c r="AE61" s="78">
        <f t="shared" si="17"/>
        <v>163132.5</v>
      </c>
      <c r="AF61" s="79">
        <v>118639.3</v>
      </c>
      <c r="AG61" s="79">
        <v>44493.17</v>
      </c>
      <c r="AH61" s="72">
        <f t="shared" si="18"/>
        <v>-71584.399999999994</v>
      </c>
    </row>
    <row r="62" spans="1:34" hidden="1" x14ac:dyDescent="0.25">
      <c r="A62" s="59">
        <v>119</v>
      </c>
      <c r="B62" s="73" t="s">
        <v>106</v>
      </c>
      <c r="C62" s="74">
        <v>107.67</v>
      </c>
      <c r="D62" s="75">
        <v>0</v>
      </c>
      <c r="E62" s="62">
        <f t="shared" si="0"/>
        <v>107.67</v>
      </c>
      <c r="F62" s="63">
        <v>1.1200000000000001</v>
      </c>
      <c r="G62" s="76">
        <f t="shared" si="1"/>
        <v>120.59</v>
      </c>
      <c r="H62" s="77">
        <v>1980</v>
      </c>
      <c r="I62" s="63">
        <v>1</v>
      </c>
      <c r="J62" s="63">
        <v>1.1000000000000001</v>
      </c>
      <c r="K62" s="65">
        <f t="shared" si="2"/>
        <v>6.7000000000000004E-2</v>
      </c>
      <c r="L62" s="65">
        <v>1</v>
      </c>
      <c r="M62" s="65"/>
      <c r="N62" s="66">
        <f t="shared" si="4"/>
        <v>19796</v>
      </c>
      <c r="O62" s="64">
        <v>1.8</v>
      </c>
      <c r="P62" s="7">
        <v>2.2000000000000002</v>
      </c>
      <c r="Q62" s="64">
        <v>1.302</v>
      </c>
      <c r="R62" s="67">
        <f t="shared" si="5"/>
        <v>1224799.1000000001</v>
      </c>
      <c r="S62" s="68">
        <f t="shared" si="6"/>
        <v>82061.5</v>
      </c>
      <c r="T62" s="69">
        <f t="shared" si="7"/>
        <v>1.2E-2</v>
      </c>
      <c r="U62" s="7">
        <v>22440</v>
      </c>
      <c r="V62" s="7">
        <f t="shared" si="8"/>
        <v>49368</v>
      </c>
      <c r="W62" s="7">
        <f t="shared" si="9"/>
        <v>14909.1</v>
      </c>
      <c r="X62" s="7">
        <f t="shared" si="10"/>
        <v>771325.6</v>
      </c>
      <c r="Y62" s="70">
        <f t="shared" si="11"/>
        <v>9255.9</v>
      </c>
      <c r="Z62" s="67">
        <f t="shared" si="12"/>
        <v>18263.5</v>
      </c>
      <c r="AA62" s="67">
        <f t="shared" si="13"/>
        <v>3804.9</v>
      </c>
      <c r="AB62" s="71">
        <f t="shared" si="14"/>
        <v>113385.8</v>
      </c>
      <c r="AC62" s="71">
        <f t="shared" si="15"/>
        <v>71396.100000000006</v>
      </c>
      <c r="AD62" s="71">
        <f t="shared" si="16"/>
        <v>41989.7</v>
      </c>
      <c r="AE62" s="78">
        <f t="shared" si="17"/>
        <v>205231.2</v>
      </c>
      <c r="AF62" s="79">
        <v>149255.89000000001</v>
      </c>
      <c r="AG62" s="79">
        <v>55975.28</v>
      </c>
      <c r="AH62" s="72">
        <f t="shared" si="18"/>
        <v>-91845.4</v>
      </c>
    </row>
    <row r="63" spans="1:34" hidden="1" x14ac:dyDescent="0.25">
      <c r="A63" s="59">
        <v>119</v>
      </c>
      <c r="B63" s="73" t="s">
        <v>107</v>
      </c>
      <c r="C63" s="74">
        <v>20.329999999999998</v>
      </c>
      <c r="D63" s="75">
        <v>0</v>
      </c>
      <c r="E63" s="62">
        <f t="shared" si="0"/>
        <v>20.329999999999998</v>
      </c>
      <c r="F63" s="63">
        <v>1.1200000000000001</v>
      </c>
      <c r="G63" s="76">
        <f t="shared" si="1"/>
        <v>22.77</v>
      </c>
      <c r="H63" s="77">
        <v>1980</v>
      </c>
      <c r="I63" s="63">
        <v>1</v>
      </c>
      <c r="J63" s="63">
        <v>1.1000000000000001</v>
      </c>
      <c r="K63" s="65">
        <f t="shared" si="2"/>
        <v>1.2699999999999999E-2</v>
      </c>
      <c r="L63" s="65">
        <v>1</v>
      </c>
      <c r="M63" s="65"/>
      <c r="N63" s="66">
        <f t="shared" si="4"/>
        <v>19796</v>
      </c>
      <c r="O63" s="64">
        <v>1.8</v>
      </c>
      <c r="P63" s="7">
        <v>2.2000000000000002</v>
      </c>
      <c r="Q63" s="64">
        <v>1.302</v>
      </c>
      <c r="R63" s="67">
        <f t="shared" si="5"/>
        <v>1224799.1000000001</v>
      </c>
      <c r="S63" s="68">
        <f t="shared" si="6"/>
        <v>15554.9</v>
      </c>
      <c r="T63" s="69">
        <f t="shared" si="7"/>
        <v>2E-3</v>
      </c>
      <c r="U63" s="7">
        <v>22440</v>
      </c>
      <c r="V63" s="7">
        <f t="shared" si="8"/>
        <v>49368</v>
      </c>
      <c r="W63" s="7">
        <f t="shared" si="9"/>
        <v>14909.1</v>
      </c>
      <c r="X63" s="7">
        <f t="shared" si="10"/>
        <v>771325.6</v>
      </c>
      <c r="Y63" s="70">
        <f t="shared" si="11"/>
        <v>1542.7</v>
      </c>
      <c r="Z63" s="67">
        <f t="shared" si="12"/>
        <v>3419.5</v>
      </c>
      <c r="AA63" s="67">
        <f t="shared" si="13"/>
        <v>712.4</v>
      </c>
      <c r="AB63" s="71">
        <f t="shared" si="14"/>
        <v>21229.5</v>
      </c>
      <c r="AC63" s="71">
        <f t="shared" si="15"/>
        <v>13367.7</v>
      </c>
      <c r="AD63" s="71">
        <f t="shared" si="16"/>
        <v>7861.8</v>
      </c>
      <c r="AE63" s="78">
        <f t="shared" si="17"/>
        <v>36836.400000000001</v>
      </c>
      <c r="AF63" s="79">
        <v>26789.52</v>
      </c>
      <c r="AG63" s="79">
        <v>10046.84</v>
      </c>
      <c r="AH63" s="72">
        <f t="shared" si="18"/>
        <v>-15606.9</v>
      </c>
    </row>
    <row r="64" spans="1:34" s="80" customFormat="1" hidden="1" x14ac:dyDescent="0.25">
      <c r="A64" s="101">
        <v>120</v>
      </c>
      <c r="B64" s="103" t="s">
        <v>108</v>
      </c>
      <c r="C64" s="104">
        <v>1176.67</v>
      </c>
      <c r="D64" s="102">
        <v>7195.33</v>
      </c>
      <c r="E64" s="105">
        <f t="shared" si="0"/>
        <v>8372</v>
      </c>
      <c r="F64" s="63">
        <v>1.1200000000000001</v>
      </c>
      <c r="G64" s="106">
        <f t="shared" si="1"/>
        <v>9376.64</v>
      </c>
      <c r="H64" s="107">
        <v>1980</v>
      </c>
      <c r="I64" s="108">
        <v>1</v>
      </c>
      <c r="J64" s="108">
        <v>1.1000000000000001</v>
      </c>
      <c r="K64" s="109">
        <f t="shared" si="2"/>
        <v>5.2092000000000001</v>
      </c>
      <c r="L64" s="109">
        <v>4</v>
      </c>
      <c r="M64" s="109">
        <f>K64-L64</f>
        <v>1.2092000000000001</v>
      </c>
      <c r="N64" s="66">
        <f t="shared" si="4"/>
        <v>19796</v>
      </c>
      <c r="O64" s="110">
        <v>1.8</v>
      </c>
      <c r="P64" s="111">
        <v>2.2000000000000002</v>
      </c>
      <c r="Q64" s="110">
        <v>1.302</v>
      </c>
      <c r="R64" s="111">
        <f t="shared" si="5"/>
        <v>1224799.1000000001</v>
      </c>
      <c r="S64" s="111">
        <f t="shared" si="6"/>
        <v>6380223.5</v>
      </c>
      <c r="T64" s="112">
        <f t="shared" si="7"/>
        <v>0.94699999999999995</v>
      </c>
      <c r="U64" s="7">
        <v>22440</v>
      </c>
      <c r="V64" s="68">
        <f t="shared" si="8"/>
        <v>49368</v>
      </c>
      <c r="W64" s="111">
        <f t="shared" si="9"/>
        <v>14909.1</v>
      </c>
      <c r="X64" s="68">
        <f t="shared" si="10"/>
        <v>771325.6</v>
      </c>
      <c r="Y64" s="68">
        <f t="shared" si="11"/>
        <v>730445.3</v>
      </c>
      <c r="Z64" s="68">
        <f t="shared" si="12"/>
        <v>1422133.8</v>
      </c>
      <c r="AA64" s="68">
        <f t="shared" si="13"/>
        <v>296277.90000000002</v>
      </c>
      <c r="AB64" s="113">
        <f t="shared" si="14"/>
        <v>8829080.5</v>
      </c>
      <c r="AC64" s="113">
        <f t="shared" si="15"/>
        <v>5559445.5</v>
      </c>
      <c r="AD64" s="113">
        <f t="shared" si="16"/>
        <v>3269635</v>
      </c>
      <c r="AE64" s="78">
        <f t="shared" si="17"/>
        <v>8389458.4000000004</v>
      </c>
      <c r="AF64" s="84">
        <v>6040887.04</v>
      </c>
      <c r="AG64" s="84">
        <v>2348571.37</v>
      </c>
      <c r="AH64" s="72">
        <f t="shared" si="18"/>
        <v>439622.1</v>
      </c>
    </row>
    <row r="65" spans="1:34" hidden="1" x14ac:dyDescent="0.25">
      <c r="A65" s="59">
        <v>120</v>
      </c>
      <c r="B65" s="73" t="s">
        <v>109</v>
      </c>
      <c r="C65" s="74">
        <v>17.329999999999998</v>
      </c>
      <c r="D65" s="75">
        <v>0</v>
      </c>
      <c r="E65" s="62">
        <f t="shared" si="0"/>
        <v>17.329999999999998</v>
      </c>
      <c r="F65" s="63">
        <v>1.1200000000000001</v>
      </c>
      <c r="G65" s="76">
        <f t="shared" si="1"/>
        <v>19.41</v>
      </c>
      <c r="H65" s="77">
        <v>1980</v>
      </c>
      <c r="I65" s="63">
        <v>1</v>
      </c>
      <c r="J65" s="63">
        <v>1.1000000000000001</v>
      </c>
      <c r="K65" s="65">
        <f t="shared" si="2"/>
        <v>1.0800000000000001E-2</v>
      </c>
      <c r="L65" s="65">
        <v>1</v>
      </c>
      <c r="M65" s="65"/>
      <c r="N65" s="66">
        <f t="shared" si="4"/>
        <v>19796</v>
      </c>
      <c r="O65" s="64">
        <v>1.8</v>
      </c>
      <c r="P65" s="7">
        <v>2.2000000000000002</v>
      </c>
      <c r="Q65" s="64">
        <v>1.302</v>
      </c>
      <c r="R65" s="67">
        <f t="shared" si="5"/>
        <v>1224799.1000000001</v>
      </c>
      <c r="S65" s="68">
        <f t="shared" si="6"/>
        <v>13227.8</v>
      </c>
      <c r="T65" s="69">
        <f t="shared" si="7"/>
        <v>2E-3</v>
      </c>
      <c r="U65" s="7">
        <v>22440</v>
      </c>
      <c r="V65" s="7">
        <f t="shared" si="8"/>
        <v>49368</v>
      </c>
      <c r="W65" s="7">
        <f t="shared" si="9"/>
        <v>14909.1</v>
      </c>
      <c r="X65" s="7">
        <f t="shared" si="10"/>
        <v>771325.6</v>
      </c>
      <c r="Y65" s="70">
        <f t="shared" si="11"/>
        <v>1542.7</v>
      </c>
      <c r="Z65" s="67">
        <f t="shared" si="12"/>
        <v>2954.1</v>
      </c>
      <c r="AA65" s="67">
        <f t="shared" si="13"/>
        <v>615.4</v>
      </c>
      <c r="AB65" s="71">
        <f t="shared" si="14"/>
        <v>18340</v>
      </c>
      <c r="AC65" s="71">
        <f t="shared" si="15"/>
        <v>11548.2</v>
      </c>
      <c r="AD65" s="71">
        <f t="shared" si="16"/>
        <v>6791.8</v>
      </c>
      <c r="AE65" s="78">
        <f t="shared" si="17"/>
        <v>35082.300000000003</v>
      </c>
      <c r="AF65" s="79">
        <v>25513.83</v>
      </c>
      <c r="AG65" s="79">
        <v>9568.42</v>
      </c>
      <c r="AH65" s="72">
        <f t="shared" si="18"/>
        <v>-16742.3</v>
      </c>
    </row>
    <row r="66" spans="1:34" hidden="1" x14ac:dyDescent="0.25">
      <c r="A66" s="59">
        <v>120</v>
      </c>
      <c r="B66" s="73" t="s">
        <v>110</v>
      </c>
      <c r="C66" s="74">
        <v>36.67</v>
      </c>
      <c r="D66" s="75">
        <v>0</v>
      </c>
      <c r="E66" s="62">
        <f t="shared" si="0"/>
        <v>36.67</v>
      </c>
      <c r="F66" s="63">
        <v>1.1200000000000001</v>
      </c>
      <c r="G66" s="76">
        <f t="shared" si="1"/>
        <v>41.07</v>
      </c>
      <c r="H66" s="77">
        <v>1980</v>
      </c>
      <c r="I66" s="63">
        <v>1</v>
      </c>
      <c r="J66" s="63">
        <v>1.1000000000000001</v>
      </c>
      <c r="K66" s="65">
        <f t="shared" si="2"/>
        <v>2.2800000000000001E-2</v>
      </c>
      <c r="L66" s="65">
        <v>1</v>
      </c>
      <c r="M66" s="65"/>
      <c r="N66" s="66">
        <f t="shared" si="4"/>
        <v>19796</v>
      </c>
      <c r="O66" s="64">
        <v>1.8</v>
      </c>
      <c r="P66" s="7">
        <v>2.2000000000000002</v>
      </c>
      <c r="Q66" s="64">
        <v>1.302</v>
      </c>
      <c r="R66" s="67">
        <f t="shared" si="5"/>
        <v>1224799.1000000001</v>
      </c>
      <c r="S66" s="68">
        <f t="shared" si="6"/>
        <v>27925.4</v>
      </c>
      <c r="T66" s="69">
        <f t="shared" si="7"/>
        <v>4.0000000000000001E-3</v>
      </c>
      <c r="U66" s="7">
        <v>22440</v>
      </c>
      <c r="V66" s="7">
        <f t="shared" si="8"/>
        <v>49368</v>
      </c>
      <c r="W66" s="7">
        <f t="shared" si="9"/>
        <v>14909.1</v>
      </c>
      <c r="X66" s="7">
        <f t="shared" si="10"/>
        <v>771325.6</v>
      </c>
      <c r="Y66" s="70">
        <f t="shared" si="11"/>
        <v>3085.3</v>
      </c>
      <c r="Z66" s="67">
        <f t="shared" si="12"/>
        <v>6202.1</v>
      </c>
      <c r="AA66" s="67">
        <f t="shared" si="13"/>
        <v>1292.0999999999999</v>
      </c>
      <c r="AB66" s="71">
        <f t="shared" si="14"/>
        <v>38504.9</v>
      </c>
      <c r="AC66" s="71">
        <f t="shared" si="15"/>
        <v>24245.5</v>
      </c>
      <c r="AD66" s="71">
        <f t="shared" si="16"/>
        <v>14259.4</v>
      </c>
      <c r="AE66" s="78">
        <f t="shared" si="17"/>
        <v>71918.600000000006</v>
      </c>
      <c r="AF66" s="79">
        <v>52303.35</v>
      </c>
      <c r="AG66" s="79">
        <v>19615.27</v>
      </c>
      <c r="AH66" s="72">
        <f t="shared" si="18"/>
        <v>-33413.699999999997</v>
      </c>
    </row>
    <row r="67" spans="1:34" hidden="1" x14ac:dyDescent="0.25">
      <c r="A67" s="59">
        <v>120</v>
      </c>
      <c r="B67" s="73" t="s">
        <v>111</v>
      </c>
      <c r="C67" s="74">
        <v>20.329999999999998</v>
      </c>
      <c r="D67" s="75">
        <v>0</v>
      </c>
      <c r="E67" s="62">
        <f t="shared" si="0"/>
        <v>20.329999999999998</v>
      </c>
      <c r="F67" s="63">
        <v>1.1200000000000001</v>
      </c>
      <c r="G67" s="76">
        <f t="shared" si="1"/>
        <v>22.77</v>
      </c>
      <c r="H67" s="77">
        <v>1980</v>
      </c>
      <c r="I67" s="63">
        <v>1</v>
      </c>
      <c r="J67" s="63">
        <v>1.1000000000000001</v>
      </c>
      <c r="K67" s="65">
        <f t="shared" si="2"/>
        <v>1.2699999999999999E-2</v>
      </c>
      <c r="L67" s="65">
        <v>1</v>
      </c>
      <c r="M67" s="65"/>
      <c r="N67" s="66">
        <f t="shared" si="4"/>
        <v>19796</v>
      </c>
      <c r="O67" s="64">
        <v>1.8</v>
      </c>
      <c r="P67" s="7">
        <v>2.2000000000000002</v>
      </c>
      <c r="Q67" s="64">
        <v>1.302</v>
      </c>
      <c r="R67" s="67">
        <f t="shared" si="5"/>
        <v>1224799.1000000001</v>
      </c>
      <c r="S67" s="68">
        <f t="shared" si="6"/>
        <v>15554.9</v>
      </c>
      <c r="T67" s="69">
        <f t="shared" si="7"/>
        <v>2E-3</v>
      </c>
      <c r="U67" s="7">
        <v>22440</v>
      </c>
      <c r="V67" s="7">
        <f t="shared" si="8"/>
        <v>49368</v>
      </c>
      <c r="W67" s="7">
        <f t="shared" si="9"/>
        <v>14909.1</v>
      </c>
      <c r="X67" s="7">
        <f t="shared" si="10"/>
        <v>771325.6</v>
      </c>
      <c r="Y67" s="70">
        <f t="shared" si="11"/>
        <v>1542.7</v>
      </c>
      <c r="Z67" s="67">
        <f t="shared" si="12"/>
        <v>3419.5</v>
      </c>
      <c r="AA67" s="67">
        <f t="shared" si="13"/>
        <v>712.4</v>
      </c>
      <c r="AB67" s="71">
        <f t="shared" si="14"/>
        <v>21229.5</v>
      </c>
      <c r="AC67" s="71">
        <f t="shared" si="15"/>
        <v>13367.7</v>
      </c>
      <c r="AD67" s="71">
        <f t="shared" si="16"/>
        <v>7861.8</v>
      </c>
      <c r="AE67" s="78">
        <f t="shared" si="17"/>
        <v>36836.400000000001</v>
      </c>
      <c r="AF67" s="79">
        <v>26789.52</v>
      </c>
      <c r="AG67" s="79">
        <v>10046.84</v>
      </c>
      <c r="AH67" s="72">
        <f t="shared" si="18"/>
        <v>-15606.9</v>
      </c>
    </row>
    <row r="68" spans="1:34" hidden="1" x14ac:dyDescent="0.25">
      <c r="A68" s="59">
        <v>120</v>
      </c>
      <c r="B68" s="73" t="s">
        <v>112</v>
      </c>
      <c r="C68" s="74">
        <v>29.33</v>
      </c>
      <c r="D68" s="75">
        <v>0</v>
      </c>
      <c r="E68" s="62">
        <f t="shared" si="0"/>
        <v>29.33</v>
      </c>
      <c r="F68" s="63">
        <v>1.1200000000000001</v>
      </c>
      <c r="G68" s="76">
        <f t="shared" si="1"/>
        <v>32.85</v>
      </c>
      <c r="H68" s="77">
        <v>1980</v>
      </c>
      <c r="I68" s="63">
        <v>1</v>
      </c>
      <c r="J68" s="63">
        <v>1.1000000000000001</v>
      </c>
      <c r="K68" s="65">
        <f t="shared" si="2"/>
        <v>1.83E-2</v>
      </c>
      <c r="L68" s="65">
        <v>1</v>
      </c>
      <c r="M68" s="65"/>
      <c r="N68" s="66">
        <f t="shared" si="4"/>
        <v>19796</v>
      </c>
      <c r="O68" s="64">
        <v>1.8</v>
      </c>
      <c r="P68" s="7">
        <v>2.2000000000000002</v>
      </c>
      <c r="Q68" s="64">
        <v>1.302</v>
      </c>
      <c r="R68" s="67">
        <f t="shared" si="5"/>
        <v>1224799.1000000001</v>
      </c>
      <c r="S68" s="68">
        <f t="shared" si="6"/>
        <v>22413.8</v>
      </c>
      <c r="T68" s="69">
        <f t="shared" si="7"/>
        <v>3.0000000000000001E-3</v>
      </c>
      <c r="U68" s="7">
        <v>22440</v>
      </c>
      <c r="V68" s="7">
        <f t="shared" si="8"/>
        <v>49368</v>
      </c>
      <c r="W68" s="7">
        <f t="shared" si="9"/>
        <v>14909.1</v>
      </c>
      <c r="X68" s="7">
        <f t="shared" si="10"/>
        <v>771325.6</v>
      </c>
      <c r="Y68" s="70">
        <f t="shared" si="11"/>
        <v>2314</v>
      </c>
      <c r="Z68" s="67">
        <f t="shared" si="12"/>
        <v>4945.6000000000004</v>
      </c>
      <c r="AA68" s="67">
        <f t="shared" si="13"/>
        <v>1030.3</v>
      </c>
      <c r="AB68" s="71">
        <f t="shared" si="14"/>
        <v>30703.7</v>
      </c>
      <c r="AC68" s="71">
        <f t="shared" si="15"/>
        <v>19333.3</v>
      </c>
      <c r="AD68" s="71">
        <f t="shared" si="16"/>
        <v>11370.4</v>
      </c>
      <c r="AE68" s="78">
        <f t="shared" si="17"/>
        <v>54377.5</v>
      </c>
      <c r="AF68" s="79">
        <v>39546.43</v>
      </c>
      <c r="AG68" s="79">
        <v>14831.06</v>
      </c>
      <c r="AH68" s="72">
        <f t="shared" si="18"/>
        <v>-23673.8</v>
      </c>
    </row>
    <row r="69" spans="1:34" hidden="1" x14ac:dyDescent="0.25">
      <c r="A69" s="59">
        <v>120</v>
      </c>
      <c r="B69" s="73" t="s">
        <v>113</v>
      </c>
      <c r="C69" s="74">
        <v>47.33</v>
      </c>
      <c r="D69" s="75">
        <v>0</v>
      </c>
      <c r="E69" s="62">
        <f t="shared" si="0"/>
        <v>47.33</v>
      </c>
      <c r="F69" s="63">
        <v>1.1200000000000001</v>
      </c>
      <c r="G69" s="76">
        <f t="shared" si="1"/>
        <v>53.01</v>
      </c>
      <c r="H69" s="77">
        <v>1980</v>
      </c>
      <c r="I69" s="63">
        <v>1</v>
      </c>
      <c r="J69" s="63">
        <v>1.1000000000000001</v>
      </c>
      <c r="K69" s="65">
        <f t="shared" si="2"/>
        <v>2.9499999999999998E-2</v>
      </c>
      <c r="L69" s="65">
        <v>1</v>
      </c>
      <c r="M69" s="65"/>
      <c r="N69" s="66">
        <f t="shared" si="4"/>
        <v>19796</v>
      </c>
      <c r="O69" s="64">
        <v>1.8</v>
      </c>
      <c r="P69" s="7">
        <v>2.2000000000000002</v>
      </c>
      <c r="Q69" s="64">
        <v>1.302</v>
      </c>
      <c r="R69" s="67">
        <f t="shared" si="5"/>
        <v>1224799.1000000001</v>
      </c>
      <c r="S69" s="68">
        <f t="shared" si="6"/>
        <v>36131.599999999999</v>
      </c>
      <c r="T69" s="69">
        <f t="shared" si="7"/>
        <v>5.0000000000000001E-3</v>
      </c>
      <c r="U69" s="7">
        <v>22440</v>
      </c>
      <c r="V69" s="7">
        <f t="shared" si="8"/>
        <v>49368</v>
      </c>
      <c r="W69" s="7">
        <f t="shared" si="9"/>
        <v>14909.1</v>
      </c>
      <c r="X69" s="7">
        <f t="shared" si="10"/>
        <v>771325.6</v>
      </c>
      <c r="Y69" s="70">
        <f t="shared" si="11"/>
        <v>3856.6</v>
      </c>
      <c r="Z69" s="67">
        <f t="shared" si="12"/>
        <v>7997.6</v>
      </c>
      <c r="AA69" s="67">
        <f t="shared" si="13"/>
        <v>1666.2</v>
      </c>
      <c r="AB69" s="71">
        <f t="shared" si="14"/>
        <v>49652</v>
      </c>
      <c r="AC69" s="71">
        <f t="shared" si="15"/>
        <v>31264.6</v>
      </c>
      <c r="AD69" s="71">
        <f t="shared" si="16"/>
        <v>18387.400000000001</v>
      </c>
      <c r="AE69" s="78">
        <f t="shared" si="17"/>
        <v>101738.5</v>
      </c>
      <c r="AF69" s="79">
        <v>73990.100000000006</v>
      </c>
      <c r="AG69" s="79">
        <v>27748.43</v>
      </c>
      <c r="AH69" s="72">
        <f t="shared" si="18"/>
        <v>-52086.5</v>
      </c>
    </row>
    <row r="70" spans="1:34" hidden="1" x14ac:dyDescent="0.25">
      <c r="A70" s="59">
        <v>120</v>
      </c>
      <c r="B70" s="73" t="s">
        <v>114</v>
      </c>
      <c r="C70" s="74">
        <v>116.67</v>
      </c>
      <c r="D70" s="75">
        <v>0</v>
      </c>
      <c r="E70" s="62">
        <f t="shared" ref="E70:E92" si="19">(C70+D70)</f>
        <v>116.67</v>
      </c>
      <c r="F70" s="63">
        <v>1.1200000000000001</v>
      </c>
      <c r="G70" s="76">
        <f t="shared" ref="G70" si="20">E70*F70</f>
        <v>130.66999999999999</v>
      </c>
      <c r="H70" s="77">
        <v>1980</v>
      </c>
      <c r="I70" s="63">
        <v>1</v>
      </c>
      <c r="J70" s="63">
        <v>1.1000000000000001</v>
      </c>
      <c r="K70" s="65">
        <f t="shared" ref="K70" si="21">(G70/H70)*I70*J70</f>
        <v>7.2599999999999998E-2</v>
      </c>
      <c r="L70" s="65">
        <v>1</v>
      </c>
      <c r="M70" s="65"/>
      <c r="N70" s="66">
        <f t="shared" ref="N70:N92" si="22">18042*1.04*1.055</f>
        <v>19796</v>
      </c>
      <c r="O70" s="64">
        <v>1.8</v>
      </c>
      <c r="P70" s="7">
        <v>2.2000000000000002</v>
      </c>
      <c r="Q70" s="64">
        <v>1.302</v>
      </c>
      <c r="R70" s="67">
        <f t="shared" ref="R70:R71" si="23">N70*O70*P70*Q70*12</f>
        <v>1224799.1000000001</v>
      </c>
      <c r="S70" s="68">
        <f t="shared" ref="S70:S92" si="24">(R70*K70)</f>
        <v>88920.4</v>
      </c>
      <c r="T70" s="69">
        <f t="shared" ref="T70" si="25">K70/J70*0.2</f>
        <v>1.2999999999999999E-2</v>
      </c>
      <c r="U70" s="7">
        <v>22440</v>
      </c>
      <c r="V70" s="7">
        <f t="shared" ref="V70" si="26">U70*P70</f>
        <v>49368</v>
      </c>
      <c r="W70" s="7">
        <f t="shared" ref="W70" si="27">V70*0.302</f>
        <v>14909.1</v>
      </c>
      <c r="X70" s="7">
        <f t="shared" ref="X70" si="28">V70*1.302*12</f>
        <v>771325.6</v>
      </c>
      <c r="Y70" s="70">
        <f t="shared" ref="Y70" si="29">X70*T70</f>
        <v>10027.200000000001</v>
      </c>
      <c r="Z70" s="67">
        <f t="shared" ref="Z70" si="30">(S70+Y70)*0.2</f>
        <v>19789.5</v>
      </c>
      <c r="AA70" s="67">
        <f t="shared" ref="AA70" si="31">(K70/2)*(R70/12)+(T70/2)*(X70/12)</f>
        <v>4122.8</v>
      </c>
      <c r="AB70" s="71">
        <f t="shared" ref="AB70" si="32">S70+Y70+Z70+AA70</f>
        <v>122859.9</v>
      </c>
      <c r="AC70" s="71">
        <f t="shared" ref="AC70" si="33">AB70/$AB$93*$AC$93</f>
        <v>77361.7</v>
      </c>
      <c r="AD70" s="71">
        <f t="shared" ref="AD70" si="34">AB70-AC70</f>
        <v>45498.2</v>
      </c>
      <c r="AE70" s="78">
        <f t="shared" ref="AE70" si="35">AF70+AG70</f>
        <v>228034.6</v>
      </c>
      <c r="AF70" s="79">
        <v>165839.88</v>
      </c>
      <c r="AG70" s="79">
        <v>62194.75</v>
      </c>
      <c r="AH70" s="72">
        <f t="shared" ref="AH70" si="36">AB70-AE70</f>
        <v>-105174.7</v>
      </c>
    </row>
    <row r="71" spans="1:34" hidden="1" x14ac:dyDescent="0.25">
      <c r="A71" s="59">
        <v>120</v>
      </c>
      <c r="B71" s="73" t="s">
        <v>115</v>
      </c>
      <c r="C71" s="74">
        <v>30</v>
      </c>
      <c r="D71" s="75">
        <v>0</v>
      </c>
      <c r="E71" s="62">
        <f t="shared" si="19"/>
        <v>30</v>
      </c>
      <c r="F71" s="63">
        <v>1.1200000000000001</v>
      </c>
      <c r="G71" s="76">
        <f t="shared" ref="G71:G92" si="37">E71*F71</f>
        <v>33.6</v>
      </c>
      <c r="H71" s="77">
        <v>1980</v>
      </c>
      <c r="I71" s="63">
        <v>1</v>
      </c>
      <c r="J71" s="63">
        <v>1.1000000000000001</v>
      </c>
      <c r="K71" s="65">
        <f t="shared" ref="K71:K92" si="38">(G71/H71)*I71*J71</f>
        <v>1.8700000000000001E-2</v>
      </c>
      <c r="L71" s="65">
        <v>1</v>
      </c>
      <c r="M71" s="65"/>
      <c r="N71" s="66">
        <f t="shared" si="22"/>
        <v>19796</v>
      </c>
      <c r="O71" s="64">
        <v>1.8</v>
      </c>
      <c r="P71" s="7">
        <v>2.2000000000000002</v>
      </c>
      <c r="Q71" s="64">
        <v>1.302</v>
      </c>
      <c r="R71" s="67">
        <f t="shared" si="23"/>
        <v>1224799.1000000001</v>
      </c>
      <c r="S71" s="68">
        <f t="shared" si="24"/>
        <v>22903.7</v>
      </c>
      <c r="T71" s="69">
        <f t="shared" ref="T71:T92" si="39">K71/J71*0.2</f>
        <v>3.0000000000000001E-3</v>
      </c>
      <c r="U71" s="7">
        <v>22440</v>
      </c>
      <c r="V71" s="7">
        <f t="shared" ref="V71:V92" si="40">U71*P71</f>
        <v>49368</v>
      </c>
      <c r="W71" s="7">
        <f t="shared" ref="W71:W92" si="41">V71*0.302</f>
        <v>14909.1</v>
      </c>
      <c r="X71" s="7">
        <f t="shared" ref="X71:X92" si="42">V71*1.302*12</f>
        <v>771325.6</v>
      </c>
      <c r="Y71" s="70">
        <f t="shared" ref="Y71:Y92" si="43">X71*T71</f>
        <v>2314</v>
      </c>
      <c r="Z71" s="67">
        <f t="shared" ref="Z71:Z92" si="44">(S71+Y71)*0.2</f>
        <v>5043.5</v>
      </c>
      <c r="AA71" s="67">
        <f t="shared" ref="AA71:AA92" si="45">(K71/2)*(R71/12)+(T71/2)*(X71/12)</f>
        <v>1050.7</v>
      </c>
      <c r="AB71" s="71">
        <f t="shared" ref="AB71:AB92" si="46">S71+Y71+Z71+AA71</f>
        <v>31311.9</v>
      </c>
      <c r="AC71" s="71">
        <f t="shared" ref="AC71:AC92" si="47">AB71/$AB$93*$AC$93</f>
        <v>19716.3</v>
      </c>
      <c r="AD71" s="71">
        <f t="shared" ref="AD71:AD92" si="48">AB71-AC71</f>
        <v>11595.6</v>
      </c>
      <c r="AE71" s="78">
        <f t="shared" ref="AE71:AE92" si="49">AF71+AG71</f>
        <v>63148.1</v>
      </c>
      <c r="AF71" s="79">
        <v>45924.89</v>
      </c>
      <c r="AG71" s="79">
        <v>17223.16</v>
      </c>
      <c r="AH71" s="72">
        <f t="shared" ref="AH71:AH93" si="50">AB71-AE71</f>
        <v>-31836.2</v>
      </c>
    </row>
    <row r="72" spans="1:34" s="100" customFormat="1" hidden="1" x14ac:dyDescent="0.25">
      <c r="A72" s="101">
        <v>121</v>
      </c>
      <c r="B72" s="103" t="s">
        <v>116</v>
      </c>
      <c r="C72" s="104">
        <v>1202.33</v>
      </c>
      <c r="D72" s="104">
        <v>13468</v>
      </c>
      <c r="E72" s="105">
        <f t="shared" si="19"/>
        <v>14670.33</v>
      </c>
      <c r="F72" s="63">
        <v>1.1200000000000001</v>
      </c>
      <c r="G72" s="106">
        <f t="shared" si="37"/>
        <v>16430.77</v>
      </c>
      <c r="H72" s="107">
        <v>1980</v>
      </c>
      <c r="I72" s="108">
        <v>1</v>
      </c>
      <c r="J72" s="108">
        <v>1.1000000000000001</v>
      </c>
      <c r="K72" s="109">
        <f t="shared" si="38"/>
        <v>9.1281999999999996</v>
      </c>
      <c r="L72" s="109">
        <v>5</v>
      </c>
      <c r="M72" s="109">
        <f>K72-L72</f>
        <v>4.1281999999999996</v>
      </c>
      <c r="N72" s="66">
        <f t="shared" si="22"/>
        <v>19796</v>
      </c>
      <c r="O72" s="110">
        <v>1.8</v>
      </c>
      <c r="P72" s="111">
        <v>2.2000000000000002</v>
      </c>
      <c r="Q72" s="110">
        <v>1.302</v>
      </c>
      <c r="R72" s="111">
        <f t="shared" ref="R72:R92" si="51">N72*O72*P72*Q72*12</f>
        <v>1224799.1000000001</v>
      </c>
      <c r="S72" s="111">
        <f t="shared" si="24"/>
        <v>11180211.1</v>
      </c>
      <c r="T72" s="112">
        <f t="shared" si="39"/>
        <v>1.66</v>
      </c>
      <c r="U72" s="7">
        <v>22440</v>
      </c>
      <c r="V72" s="68">
        <f t="shared" si="40"/>
        <v>49368</v>
      </c>
      <c r="W72" s="111">
        <f t="shared" si="41"/>
        <v>14909.1</v>
      </c>
      <c r="X72" s="68">
        <f t="shared" si="42"/>
        <v>771325.6</v>
      </c>
      <c r="Y72" s="68">
        <f t="shared" si="43"/>
        <v>1280400.5</v>
      </c>
      <c r="Z72" s="68">
        <f t="shared" si="44"/>
        <v>2492122.2999999998</v>
      </c>
      <c r="AA72" s="68">
        <f t="shared" si="45"/>
        <v>519192.2</v>
      </c>
      <c r="AB72" s="113">
        <f t="shared" si="46"/>
        <v>15471926.1</v>
      </c>
      <c r="AC72" s="113">
        <f t="shared" si="47"/>
        <v>9742274.9000000004</v>
      </c>
      <c r="AD72" s="113">
        <f t="shared" si="48"/>
        <v>5729651.2000000002</v>
      </c>
      <c r="AE72" s="78">
        <f t="shared" si="49"/>
        <v>10861894.1</v>
      </c>
      <c r="AF72" s="102">
        <v>7821181.3099999996</v>
      </c>
      <c r="AG72" s="102">
        <v>3040712.79</v>
      </c>
      <c r="AH72" s="72">
        <f t="shared" si="50"/>
        <v>4610032</v>
      </c>
    </row>
    <row r="73" spans="1:34" hidden="1" x14ac:dyDescent="0.25">
      <c r="A73" s="59">
        <v>121</v>
      </c>
      <c r="B73" s="73" t="s">
        <v>117</v>
      </c>
      <c r="C73" s="74">
        <v>136</v>
      </c>
      <c r="D73" s="75"/>
      <c r="E73" s="62">
        <f t="shared" si="19"/>
        <v>136</v>
      </c>
      <c r="F73" s="63">
        <v>1.1200000000000001</v>
      </c>
      <c r="G73" s="76">
        <f t="shared" si="37"/>
        <v>152.32</v>
      </c>
      <c r="H73" s="77">
        <v>1980</v>
      </c>
      <c r="I73" s="63">
        <v>1</v>
      </c>
      <c r="J73" s="63">
        <v>1.1000000000000001</v>
      </c>
      <c r="K73" s="65">
        <f t="shared" si="38"/>
        <v>8.4599999999999995E-2</v>
      </c>
      <c r="L73" s="65">
        <v>1</v>
      </c>
      <c r="M73" s="65"/>
      <c r="N73" s="66">
        <f t="shared" si="22"/>
        <v>19796</v>
      </c>
      <c r="O73" s="64">
        <v>1.8</v>
      </c>
      <c r="P73" s="7">
        <v>2.2000000000000002</v>
      </c>
      <c r="Q73" s="64">
        <v>1.302</v>
      </c>
      <c r="R73" s="67">
        <f t="shared" si="51"/>
        <v>1224799.1000000001</v>
      </c>
      <c r="S73" s="68">
        <f t="shared" si="24"/>
        <v>103618</v>
      </c>
      <c r="T73" s="69">
        <f t="shared" si="39"/>
        <v>1.4999999999999999E-2</v>
      </c>
      <c r="U73" s="7">
        <v>22440</v>
      </c>
      <c r="V73" s="7">
        <f t="shared" si="40"/>
        <v>49368</v>
      </c>
      <c r="W73" s="7">
        <f t="shared" si="41"/>
        <v>14909.1</v>
      </c>
      <c r="X73" s="7">
        <f t="shared" si="42"/>
        <v>771325.6</v>
      </c>
      <c r="Y73" s="70">
        <f t="shared" si="43"/>
        <v>11569.9</v>
      </c>
      <c r="Z73" s="67">
        <f t="shared" si="44"/>
        <v>23037.599999999999</v>
      </c>
      <c r="AA73" s="67">
        <f t="shared" si="45"/>
        <v>4799.5</v>
      </c>
      <c r="AB73" s="71">
        <f t="shared" si="46"/>
        <v>143025</v>
      </c>
      <c r="AC73" s="71">
        <f t="shared" si="47"/>
        <v>90059.199999999997</v>
      </c>
      <c r="AD73" s="71">
        <f t="shared" si="48"/>
        <v>52965.8</v>
      </c>
      <c r="AE73" s="78">
        <f t="shared" si="49"/>
        <v>240313.4</v>
      </c>
      <c r="AF73" s="79">
        <v>174769.72</v>
      </c>
      <c r="AG73" s="79">
        <v>65543.7</v>
      </c>
      <c r="AH73" s="72">
        <f t="shared" si="50"/>
        <v>-97288.4</v>
      </c>
    </row>
    <row r="74" spans="1:34" hidden="1" x14ac:dyDescent="0.25">
      <c r="A74" s="59">
        <v>121</v>
      </c>
      <c r="B74" s="73" t="s">
        <v>118</v>
      </c>
      <c r="C74" s="74">
        <v>440.67</v>
      </c>
      <c r="D74" s="75"/>
      <c r="E74" s="62">
        <f t="shared" si="19"/>
        <v>440.67</v>
      </c>
      <c r="F74" s="63">
        <v>1.1200000000000001</v>
      </c>
      <c r="G74" s="76">
        <f t="shared" si="37"/>
        <v>493.55</v>
      </c>
      <c r="H74" s="77">
        <v>1980</v>
      </c>
      <c r="I74" s="63">
        <v>1</v>
      </c>
      <c r="J74" s="63">
        <v>1.1000000000000001</v>
      </c>
      <c r="K74" s="65">
        <f t="shared" si="38"/>
        <v>0.2742</v>
      </c>
      <c r="L74" s="65">
        <v>1</v>
      </c>
      <c r="M74" s="65"/>
      <c r="N74" s="66">
        <f t="shared" si="22"/>
        <v>19796</v>
      </c>
      <c r="O74" s="64">
        <v>1.8</v>
      </c>
      <c r="P74" s="7">
        <v>2.2000000000000002</v>
      </c>
      <c r="Q74" s="64">
        <v>1.302</v>
      </c>
      <c r="R74" s="67">
        <f t="shared" si="51"/>
        <v>1224799.1000000001</v>
      </c>
      <c r="S74" s="68">
        <f t="shared" si="24"/>
        <v>335839.9</v>
      </c>
      <c r="T74" s="69">
        <f t="shared" si="39"/>
        <v>0.05</v>
      </c>
      <c r="U74" s="7">
        <v>22440</v>
      </c>
      <c r="V74" s="7">
        <f t="shared" si="40"/>
        <v>49368</v>
      </c>
      <c r="W74" s="7">
        <f t="shared" si="41"/>
        <v>14909.1</v>
      </c>
      <c r="X74" s="7">
        <f t="shared" si="42"/>
        <v>771325.6</v>
      </c>
      <c r="Y74" s="70">
        <f t="shared" si="43"/>
        <v>38566.300000000003</v>
      </c>
      <c r="Z74" s="67">
        <f t="shared" si="44"/>
        <v>74881.2</v>
      </c>
      <c r="AA74" s="67">
        <f t="shared" si="45"/>
        <v>15600.3</v>
      </c>
      <c r="AB74" s="71">
        <f t="shared" si="46"/>
        <v>464887.7</v>
      </c>
      <c r="AC74" s="71">
        <f t="shared" si="47"/>
        <v>292727.90000000002</v>
      </c>
      <c r="AD74" s="71">
        <f t="shared" si="48"/>
        <v>172159.8</v>
      </c>
      <c r="AE74" s="78">
        <f t="shared" si="49"/>
        <v>817342.8</v>
      </c>
      <c r="AF74" s="79">
        <v>594418.61</v>
      </c>
      <c r="AG74" s="79">
        <v>222924.18</v>
      </c>
      <c r="AH74" s="72">
        <f t="shared" si="50"/>
        <v>-352455.1</v>
      </c>
    </row>
    <row r="75" spans="1:34" hidden="1" x14ac:dyDescent="0.25">
      <c r="A75" s="59">
        <v>121</v>
      </c>
      <c r="B75" s="73" t="s">
        <v>119</v>
      </c>
      <c r="C75" s="74">
        <v>7</v>
      </c>
      <c r="D75" s="75"/>
      <c r="E75" s="62">
        <f t="shared" si="19"/>
        <v>7</v>
      </c>
      <c r="F75" s="63">
        <v>1.1200000000000001</v>
      </c>
      <c r="G75" s="76">
        <f t="shared" si="37"/>
        <v>7.84</v>
      </c>
      <c r="H75" s="77">
        <v>1980</v>
      </c>
      <c r="I75" s="63">
        <v>1</v>
      </c>
      <c r="J75" s="63">
        <v>1.1000000000000001</v>
      </c>
      <c r="K75" s="65">
        <f t="shared" si="38"/>
        <v>4.4000000000000003E-3</v>
      </c>
      <c r="L75" s="65">
        <v>1</v>
      </c>
      <c r="M75" s="65"/>
      <c r="N75" s="66">
        <f t="shared" si="22"/>
        <v>19796</v>
      </c>
      <c r="O75" s="64">
        <v>1.8</v>
      </c>
      <c r="P75" s="7">
        <v>2.2000000000000002</v>
      </c>
      <c r="Q75" s="64">
        <v>1.302</v>
      </c>
      <c r="R75" s="67">
        <f t="shared" si="51"/>
        <v>1224799.1000000001</v>
      </c>
      <c r="S75" s="68">
        <f t="shared" si="24"/>
        <v>5389.1</v>
      </c>
      <c r="T75" s="69">
        <f t="shared" si="39"/>
        <v>1E-3</v>
      </c>
      <c r="U75" s="7">
        <v>22440</v>
      </c>
      <c r="V75" s="7">
        <f t="shared" si="40"/>
        <v>49368</v>
      </c>
      <c r="W75" s="7">
        <f t="shared" si="41"/>
        <v>14909.1</v>
      </c>
      <c r="X75" s="7">
        <f t="shared" si="42"/>
        <v>771325.6</v>
      </c>
      <c r="Y75" s="70">
        <f t="shared" si="43"/>
        <v>771.3</v>
      </c>
      <c r="Z75" s="67">
        <f t="shared" si="44"/>
        <v>1232.0999999999999</v>
      </c>
      <c r="AA75" s="67">
        <f t="shared" si="45"/>
        <v>256.7</v>
      </c>
      <c r="AB75" s="71">
        <f t="shared" si="46"/>
        <v>7649.2</v>
      </c>
      <c r="AC75" s="71">
        <f t="shared" si="47"/>
        <v>4816.5</v>
      </c>
      <c r="AD75" s="71">
        <f t="shared" si="48"/>
        <v>2832.7</v>
      </c>
      <c r="AE75" s="78">
        <f t="shared" si="49"/>
        <v>17541.099999999999</v>
      </c>
      <c r="AF75" s="79">
        <v>12756.91</v>
      </c>
      <c r="AG75" s="79">
        <v>4784.21</v>
      </c>
      <c r="AH75" s="72">
        <f t="shared" si="50"/>
        <v>-9891.9</v>
      </c>
    </row>
    <row r="76" spans="1:34" hidden="1" x14ac:dyDescent="0.25">
      <c r="A76" s="59">
        <v>121</v>
      </c>
      <c r="B76" s="73" t="s">
        <v>120</v>
      </c>
      <c r="C76" s="74">
        <v>1045</v>
      </c>
      <c r="D76" s="75"/>
      <c r="E76" s="62">
        <f t="shared" si="19"/>
        <v>1045</v>
      </c>
      <c r="F76" s="63">
        <v>1.1200000000000001</v>
      </c>
      <c r="G76" s="76">
        <f t="shared" si="37"/>
        <v>1170.4000000000001</v>
      </c>
      <c r="H76" s="77">
        <v>1980</v>
      </c>
      <c r="I76" s="63">
        <v>1</v>
      </c>
      <c r="J76" s="63">
        <v>1.1000000000000001</v>
      </c>
      <c r="K76" s="65">
        <f t="shared" si="38"/>
        <v>0.6502</v>
      </c>
      <c r="L76" s="65">
        <v>1</v>
      </c>
      <c r="M76" s="65"/>
      <c r="N76" s="66">
        <f t="shared" si="22"/>
        <v>19796</v>
      </c>
      <c r="O76" s="64">
        <v>1.8</v>
      </c>
      <c r="P76" s="7">
        <v>2.2000000000000002</v>
      </c>
      <c r="Q76" s="64">
        <v>1.302</v>
      </c>
      <c r="R76" s="67">
        <f t="shared" si="51"/>
        <v>1224799.1000000001</v>
      </c>
      <c r="S76" s="68">
        <f t="shared" si="24"/>
        <v>796364.4</v>
      </c>
      <c r="T76" s="69">
        <f t="shared" si="39"/>
        <v>0.11799999999999999</v>
      </c>
      <c r="U76" s="7">
        <v>22440</v>
      </c>
      <c r="V76" s="7">
        <f t="shared" si="40"/>
        <v>49368</v>
      </c>
      <c r="W76" s="7">
        <f t="shared" si="41"/>
        <v>14909.1</v>
      </c>
      <c r="X76" s="7">
        <f t="shared" si="42"/>
        <v>771325.6</v>
      </c>
      <c r="Y76" s="70">
        <f t="shared" si="43"/>
        <v>91016.4</v>
      </c>
      <c r="Z76" s="67">
        <f t="shared" si="44"/>
        <v>177476.2</v>
      </c>
      <c r="AA76" s="67">
        <f t="shared" si="45"/>
        <v>36974.199999999997</v>
      </c>
      <c r="AB76" s="71">
        <f t="shared" si="46"/>
        <v>1101831.2</v>
      </c>
      <c r="AC76" s="71">
        <f t="shared" si="47"/>
        <v>693794.8</v>
      </c>
      <c r="AD76" s="71">
        <f t="shared" si="48"/>
        <v>408036.4</v>
      </c>
      <c r="AE76" s="78">
        <f t="shared" si="49"/>
        <v>1996918.7</v>
      </c>
      <c r="AF76" s="79">
        <v>1452273.91</v>
      </c>
      <c r="AG76" s="79">
        <v>544644.74</v>
      </c>
      <c r="AH76" s="72">
        <f t="shared" si="50"/>
        <v>-895087.5</v>
      </c>
    </row>
    <row r="77" spans="1:34" hidden="1" x14ac:dyDescent="0.25">
      <c r="A77" s="59">
        <v>121</v>
      </c>
      <c r="B77" s="73" t="s">
        <v>121</v>
      </c>
      <c r="C77" s="74">
        <v>283</v>
      </c>
      <c r="D77" s="75"/>
      <c r="E77" s="62">
        <f t="shared" si="19"/>
        <v>283</v>
      </c>
      <c r="F77" s="63">
        <v>1.1200000000000001</v>
      </c>
      <c r="G77" s="76">
        <f t="shared" si="37"/>
        <v>316.95999999999998</v>
      </c>
      <c r="H77" s="77">
        <v>1980</v>
      </c>
      <c r="I77" s="63">
        <v>1</v>
      </c>
      <c r="J77" s="63">
        <v>1.1000000000000001</v>
      </c>
      <c r="K77" s="65">
        <f t="shared" si="38"/>
        <v>0.17610000000000001</v>
      </c>
      <c r="L77" s="65">
        <v>1</v>
      </c>
      <c r="M77" s="65"/>
      <c r="N77" s="66">
        <f t="shared" si="22"/>
        <v>19796</v>
      </c>
      <c r="O77" s="64">
        <v>1.8</v>
      </c>
      <c r="P77" s="7">
        <v>2.2000000000000002</v>
      </c>
      <c r="Q77" s="64">
        <v>1.302</v>
      </c>
      <c r="R77" s="67">
        <f t="shared" si="51"/>
        <v>1224799.1000000001</v>
      </c>
      <c r="S77" s="68">
        <f t="shared" si="24"/>
        <v>215687.1</v>
      </c>
      <c r="T77" s="69">
        <f t="shared" si="39"/>
        <v>3.2000000000000001E-2</v>
      </c>
      <c r="U77" s="7">
        <v>22440</v>
      </c>
      <c r="V77" s="7">
        <f t="shared" si="40"/>
        <v>49368</v>
      </c>
      <c r="W77" s="7">
        <f t="shared" si="41"/>
        <v>14909.1</v>
      </c>
      <c r="X77" s="7">
        <f t="shared" si="42"/>
        <v>771325.6</v>
      </c>
      <c r="Y77" s="70">
        <f t="shared" si="43"/>
        <v>24682.400000000001</v>
      </c>
      <c r="Z77" s="67">
        <f t="shared" si="44"/>
        <v>48073.9</v>
      </c>
      <c r="AA77" s="67">
        <f t="shared" si="45"/>
        <v>10015.4</v>
      </c>
      <c r="AB77" s="71">
        <f t="shared" si="46"/>
        <v>298458.8</v>
      </c>
      <c r="AC77" s="71">
        <f t="shared" si="47"/>
        <v>187931.8</v>
      </c>
      <c r="AD77" s="71">
        <f t="shared" si="48"/>
        <v>110527</v>
      </c>
      <c r="AE77" s="78">
        <f t="shared" si="49"/>
        <v>527987.9</v>
      </c>
      <c r="AF77" s="79">
        <v>383983.11</v>
      </c>
      <c r="AG77" s="79">
        <v>144004.78</v>
      </c>
      <c r="AH77" s="72">
        <f t="shared" si="50"/>
        <v>-229529.1</v>
      </c>
    </row>
    <row r="78" spans="1:34" hidden="1" x14ac:dyDescent="0.25">
      <c r="A78" s="59">
        <v>121</v>
      </c>
      <c r="B78" s="73" t="s">
        <v>122</v>
      </c>
      <c r="C78" s="74">
        <v>46.33</v>
      </c>
      <c r="D78" s="75"/>
      <c r="E78" s="62">
        <f t="shared" si="19"/>
        <v>46.33</v>
      </c>
      <c r="F78" s="63">
        <v>1.1200000000000001</v>
      </c>
      <c r="G78" s="76">
        <f t="shared" si="37"/>
        <v>51.89</v>
      </c>
      <c r="H78" s="77">
        <v>1980</v>
      </c>
      <c r="I78" s="63">
        <v>1</v>
      </c>
      <c r="J78" s="63">
        <v>1.1000000000000001</v>
      </c>
      <c r="K78" s="65">
        <f t="shared" si="38"/>
        <v>2.8799999999999999E-2</v>
      </c>
      <c r="L78" s="65">
        <v>1</v>
      </c>
      <c r="M78" s="65"/>
      <c r="N78" s="66">
        <f t="shared" si="22"/>
        <v>19796</v>
      </c>
      <c r="O78" s="64">
        <v>1.8</v>
      </c>
      <c r="P78" s="7">
        <v>2.2000000000000002</v>
      </c>
      <c r="Q78" s="64">
        <v>1.302</v>
      </c>
      <c r="R78" s="67">
        <f t="shared" si="51"/>
        <v>1224799.1000000001</v>
      </c>
      <c r="S78" s="68">
        <f t="shared" si="24"/>
        <v>35274.199999999997</v>
      </c>
      <c r="T78" s="69">
        <f t="shared" si="39"/>
        <v>5.0000000000000001E-3</v>
      </c>
      <c r="U78" s="7">
        <v>22440</v>
      </c>
      <c r="V78" s="7">
        <f t="shared" si="40"/>
        <v>49368</v>
      </c>
      <c r="W78" s="7">
        <f t="shared" si="41"/>
        <v>14909.1</v>
      </c>
      <c r="X78" s="7">
        <f t="shared" si="42"/>
        <v>771325.6</v>
      </c>
      <c r="Y78" s="70">
        <f t="shared" si="43"/>
        <v>3856.6</v>
      </c>
      <c r="Z78" s="67">
        <f t="shared" si="44"/>
        <v>7826.2</v>
      </c>
      <c r="AA78" s="67">
        <f t="shared" si="45"/>
        <v>1630.5</v>
      </c>
      <c r="AB78" s="71">
        <f t="shared" si="46"/>
        <v>48587.5</v>
      </c>
      <c r="AC78" s="71">
        <f t="shared" si="47"/>
        <v>30594.3</v>
      </c>
      <c r="AD78" s="71">
        <f t="shared" si="48"/>
        <v>17993.2</v>
      </c>
      <c r="AE78" s="78">
        <f t="shared" si="49"/>
        <v>84197.4</v>
      </c>
      <c r="AF78" s="79">
        <v>61233.19</v>
      </c>
      <c r="AG78" s="79">
        <v>22964.22</v>
      </c>
      <c r="AH78" s="72">
        <f t="shared" si="50"/>
        <v>-35609.9</v>
      </c>
    </row>
    <row r="79" spans="1:34" hidden="1" x14ac:dyDescent="0.25">
      <c r="A79" s="59">
        <v>121</v>
      </c>
      <c r="B79" s="73" t="s">
        <v>123</v>
      </c>
      <c r="C79" s="74">
        <v>343</v>
      </c>
      <c r="D79" s="75"/>
      <c r="E79" s="62">
        <f t="shared" si="19"/>
        <v>343</v>
      </c>
      <c r="F79" s="63">
        <v>1.1200000000000001</v>
      </c>
      <c r="G79" s="76">
        <f t="shared" si="37"/>
        <v>384.16</v>
      </c>
      <c r="H79" s="77">
        <v>1980</v>
      </c>
      <c r="I79" s="63">
        <v>1</v>
      </c>
      <c r="J79" s="63">
        <v>1.1000000000000001</v>
      </c>
      <c r="K79" s="65">
        <f t="shared" si="38"/>
        <v>0.21340000000000001</v>
      </c>
      <c r="L79" s="65">
        <v>1</v>
      </c>
      <c r="M79" s="65"/>
      <c r="N79" s="66">
        <f t="shared" si="22"/>
        <v>19796</v>
      </c>
      <c r="O79" s="64">
        <v>1.8</v>
      </c>
      <c r="P79" s="7">
        <v>2.2000000000000002</v>
      </c>
      <c r="Q79" s="64">
        <v>1.302</v>
      </c>
      <c r="R79" s="67">
        <f t="shared" si="51"/>
        <v>1224799.1000000001</v>
      </c>
      <c r="S79" s="68">
        <f t="shared" si="24"/>
        <v>261372.1</v>
      </c>
      <c r="T79" s="69">
        <f t="shared" si="39"/>
        <v>3.9E-2</v>
      </c>
      <c r="U79" s="7">
        <v>22440</v>
      </c>
      <c r="V79" s="7">
        <f t="shared" si="40"/>
        <v>49368</v>
      </c>
      <c r="W79" s="7">
        <f t="shared" si="41"/>
        <v>14909.1</v>
      </c>
      <c r="X79" s="7">
        <f t="shared" si="42"/>
        <v>771325.6</v>
      </c>
      <c r="Y79" s="70">
        <f t="shared" si="43"/>
        <v>30081.7</v>
      </c>
      <c r="Z79" s="67">
        <f t="shared" si="44"/>
        <v>58290.8</v>
      </c>
      <c r="AA79" s="67">
        <f t="shared" si="45"/>
        <v>12143.9</v>
      </c>
      <c r="AB79" s="71">
        <f t="shared" si="46"/>
        <v>361888.5</v>
      </c>
      <c r="AC79" s="71">
        <f t="shared" si="47"/>
        <v>227871.9</v>
      </c>
      <c r="AD79" s="71">
        <f t="shared" si="48"/>
        <v>134016.6</v>
      </c>
      <c r="AE79" s="78">
        <f t="shared" si="49"/>
        <v>591135.9</v>
      </c>
      <c r="AF79" s="79">
        <v>429908</v>
      </c>
      <c r="AG79" s="79">
        <v>161227.94</v>
      </c>
      <c r="AH79" s="72">
        <f t="shared" si="50"/>
        <v>-229247.4</v>
      </c>
    </row>
    <row r="80" spans="1:34" hidden="1" x14ac:dyDescent="0.25">
      <c r="A80" s="59">
        <v>121</v>
      </c>
      <c r="B80" s="73" t="s">
        <v>124</v>
      </c>
      <c r="C80" s="74">
        <v>18.329999999999998</v>
      </c>
      <c r="D80" s="75"/>
      <c r="E80" s="62">
        <f t="shared" si="19"/>
        <v>18.329999999999998</v>
      </c>
      <c r="F80" s="63">
        <v>1.1200000000000001</v>
      </c>
      <c r="G80" s="76">
        <f t="shared" si="37"/>
        <v>20.53</v>
      </c>
      <c r="H80" s="77">
        <v>1980</v>
      </c>
      <c r="I80" s="63">
        <v>1</v>
      </c>
      <c r="J80" s="63">
        <v>1.1000000000000001</v>
      </c>
      <c r="K80" s="65">
        <f t="shared" si="38"/>
        <v>1.14E-2</v>
      </c>
      <c r="L80" s="65">
        <v>1</v>
      </c>
      <c r="M80" s="65"/>
      <c r="N80" s="66">
        <f t="shared" si="22"/>
        <v>19796</v>
      </c>
      <c r="O80" s="64">
        <v>1.8</v>
      </c>
      <c r="P80" s="7">
        <v>2.2000000000000002</v>
      </c>
      <c r="Q80" s="64">
        <v>1.302</v>
      </c>
      <c r="R80" s="67">
        <f t="shared" si="51"/>
        <v>1224799.1000000001</v>
      </c>
      <c r="S80" s="68">
        <f t="shared" si="24"/>
        <v>13962.7</v>
      </c>
      <c r="T80" s="69">
        <f t="shared" si="39"/>
        <v>2E-3</v>
      </c>
      <c r="U80" s="7">
        <v>22440</v>
      </c>
      <c r="V80" s="7">
        <f t="shared" si="40"/>
        <v>49368</v>
      </c>
      <c r="W80" s="7">
        <f t="shared" si="41"/>
        <v>14909.1</v>
      </c>
      <c r="X80" s="7">
        <f t="shared" si="42"/>
        <v>771325.6</v>
      </c>
      <c r="Y80" s="70">
        <f t="shared" si="43"/>
        <v>1542.7</v>
      </c>
      <c r="Z80" s="67">
        <f t="shared" si="44"/>
        <v>3101.1</v>
      </c>
      <c r="AA80" s="67">
        <f t="shared" si="45"/>
        <v>646.1</v>
      </c>
      <c r="AB80" s="71">
        <f t="shared" si="46"/>
        <v>19252.599999999999</v>
      </c>
      <c r="AC80" s="71">
        <f t="shared" si="47"/>
        <v>12122.9</v>
      </c>
      <c r="AD80" s="71">
        <f t="shared" si="48"/>
        <v>7129.7</v>
      </c>
      <c r="AE80" s="78">
        <f t="shared" si="49"/>
        <v>29819.9</v>
      </c>
      <c r="AF80" s="79">
        <v>21686.75</v>
      </c>
      <c r="AG80" s="79">
        <v>8133.16</v>
      </c>
      <c r="AH80" s="72">
        <f t="shared" si="50"/>
        <v>-10567.3</v>
      </c>
    </row>
    <row r="81" spans="1:34" hidden="1" x14ac:dyDescent="0.25">
      <c r="A81" s="59">
        <v>121</v>
      </c>
      <c r="B81" s="95" t="s">
        <v>125</v>
      </c>
      <c r="C81" s="74"/>
      <c r="D81" s="75"/>
      <c r="E81" s="62">
        <f t="shared" si="19"/>
        <v>0</v>
      </c>
      <c r="F81" s="63">
        <v>1.1200000000000001</v>
      </c>
      <c r="G81" s="76">
        <f t="shared" si="37"/>
        <v>0</v>
      </c>
      <c r="H81" s="77">
        <v>1980</v>
      </c>
      <c r="I81" s="63">
        <v>1</v>
      </c>
      <c r="J81" s="63">
        <v>1.1000000000000001</v>
      </c>
      <c r="K81" s="65">
        <f t="shared" si="38"/>
        <v>0</v>
      </c>
      <c r="L81" s="65">
        <v>1</v>
      </c>
      <c r="M81" s="65"/>
      <c r="N81" s="66">
        <f t="shared" si="22"/>
        <v>19796</v>
      </c>
      <c r="O81" s="64">
        <v>1.8</v>
      </c>
      <c r="P81" s="7">
        <v>2.2000000000000002</v>
      </c>
      <c r="Q81" s="64">
        <v>1.302</v>
      </c>
      <c r="R81" s="67">
        <f t="shared" si="51"/>
        <v>1224799.1000000001</v>
      </c>
      <c r="S81" s="68">
        <f t="shared" si="24"/>
        <v>0</v>
      </c>
      <c r="T81" s="69">
        <f t="shared" si="39"/>
        <v>0</v>
      </c>
      <c r="U81" s="7">
        <v>22440</v>
      </c>
      <c r="V81" s="7">
        <f t="shared" si="40"/>
        <v>49368</v>
      </c>
      <c r="W81" s="7">
        <f t="shared" si="41"/>
        <v>14909.1</v>
      </c>
      <c r="X81" s="7">
        <f t="shared" si="42"/>
        <v>771325.6</v>
      </c>
      <c r="Y81" s="70">
        <f t="shared" si="43"/>
        <v>0</v>
      </c>
      <c r="Z81" s="67">
        <f t="shared" si="44"/>
        <v>0</v>
      </c>
      <c r="AA81" s="67">
        <f t="shared" si="45"/>
        <v>0</v>
      </c>
      <c r="AB81" s="96">
        <f t="shared" si="46"/>
        <v>0</v>
      </c>
      <c r="AC81" s="96">
        <f t="shared" si="47"/>
        <v>0</v>
      </c>
      <c r="AD81" s="96">
        <f t="shared" si="48"/>
        <v>0</v>
      </c>
      <c r="AE81" s="97">
        <f t="shared" si="49"/>
        <v>7016.5</v>
      </c>
      <c r="AF81" s="98">
        <v>5102.7700000000004</v>
      </c>
      <c r="AG81" s="98">
        <v>1913.68</v>
      </c>
      <c r="AH81" s="99">
        <f t="shared" si="50"/>
        <v>-7016.5</v>
      </c>
    </row>
    <row r="82" spans="1:34" hidden="1" x14ac:dyDescent="0.25">
      <c r="A82" s="59">
        <v>121</v>
      </c>
      <c r="B82" s="73" t="s">
        <v>126</v>
      </c>
      <c r="C82" s="74">
        <v>76.67</v>
      </c>
      <c r="D82" s="75"/>
      <c r="E82" s="62">
        <f t="shared" si="19"/>
        <v>76.67</v>
      </c>
      <c r="F82" s="63">
        <v>1.1200000000000001</v>
      </c>
      <c r="G82" s="76">
        <f t="shared" si="37"/>
        <v>85.87</v>
      </c>
      <c r="H82" s="77">
        <v>1980</v>
      </c>
      <c r="I82" s="63">
        <v>1</v>
      </c>
      <c r="J82" s="63">
        <v>1.1000000000000001</v>
      </c>
      <c r="K82" s="65">
        <f t="shared" si="38"/>
        <v>4.7699999999999999E-2</v>
      </c>
      <c r="L82" s="65">
        <v>1</v>
      </c>
      <c r="M82" s="65"/>
      <c r="N82" s="66">
        <f t="shared" si="22"/>
        <v>19796</v>
      </c>
      <c r="O82" s="64">
        <v>1.8</v>
      </c>
      <c r="P82" s="7">
        <v>2.2000000000000002</v>
      </c>
      <c r="Q82" s="64">
        <v>1.302</v>
      </c>
      <c r="R82" s="67">
        <f t="shared" si="51"/>
        <v>1224799.1000000001</v>
      </c>
      <c r="S82" s="68">
        <f t="shared" si="24"/>
        <v>58422.9</v>
      </c>
      <c r="T82" s="69">
        <f t="shared" si="39"/>
        <v>8.9999999999999993E-3</v>
      </c>
      <c r="U82" s="7">
        <v>22440</v>
      </c>
      <c r="V82" s="7">
        <f t="shared" si="40"/>
        <v>49368</v>
      </c>
      <c r="W82" s="7">
        <f t="shared" si="41"/>
        <v>14909.1</v>
      </c>
      <c r="X82" s="7">
        <f t="shared" si="42"/>
        <v>771325.6</v>
      </c>
      <c r="Y82" s="70">
        <f t="shared" si="43"/>
        <v>6941.9</v>
      </c>
      <c r="Z82" s="67">
        <f t="shared" si="44"/>
        <v>13073</v>
      </c>
      <c r="AA82" s="67">
        <f t="shared" si="45"/>
        <v>2723.5</v>
      </c>
      <c r="AB82" s="71">
        <f t="shared" si="46"/>
        <v>81161.3</v>
      </c>
      <c r="AC82" s="71">
        <f t="shared" si="47"/>
        <v>51105.2</v>
      </c>
      <c r="AD82" s="71">
        <f t="shared" si="48"/>
        <v>30056.1</v>
      </c>
      <c r="AE82" s="78">
        <f t="shared" si="49"/>
        <v>145591.4</v>
      </c>
      <c r="AF82" s="79">
        <v>105882.39</v>
      </c>
      <c r="AG82" s="79">
        <v>39708.959999999999</v>
      </c>
      <c r="AH82" s="72">
        <f t="shared" si="50"/>
        <v>-64430.1</v>
      </c>
    </row>
    <row r="83" spans="1:34" hidden="1" x14ac:dyDescent="0.25">
      <c r="A83" s="59">
        <v>121</v>
      </c>
      <c r="B83" s="73" t="s">
        <v>127</v>
      </c>
      <c r="C83" s="74">
        <v>36</v>
      </c>
      <c r="D83" s="75"/>
      <c r="E83" s="62">
        <f t="shared" si="19"/>
        <v>36</v>
      </c>
      <c r="F83" s="63">
        <v>1.1200000000000001</v>
      </c>
      <c r="G83" s="76">
        <f t="shared" si="37"/>
        <v>40.32</v>
      </c>
      <c r="H83" s="77">
        <v>1980</v>
      </c>
      <c r="I83" s="63">
        <v>1</v>
      </c>
      <c r="J83" s="63">
        <v>1.1000000000000001</v>
      </c>
      <c r="K83" s="65">
        <f t="shared" si="38"/>
        <v>2.24E-2</v>
      </c>
      <c r="L83" s="65">
        <v>1</v>
      </c>
      <c r="M83" s="65"/>
      <c r="N83" s="66">
        <f t="shared" si="22"/>
        <v>19796</v>
      </c>
      <c r="O83" s="64">
        <v>1.8</v>
      </c>
      <c r="P83" s="7">
        <v>2.2000000000000002</v>
      </c>
      <c r="Q83" s="64">
        <v>1.302</v>
      </c>
      <c r="R83" s="67">
        <f t="shared" si="51"/>
        <v>1224799.1000000001</v>
      </c>
      <c r="S83" s="68">
        <f t="shared" si="24"/>
        <v>27435.5</v>
      </c>
      <c r="T83" s="69">
        <f t="shared" si="39"/>
        <v>4.0000000000000001E-3</v>
      </c>
      <c r="U83" s="7">
        <v>22440</v>
      </c>
      <c r="V83" s="7">
        <f t="shared" si="40"/>
        <v>49368</v>
      </c>
      <c r="W83" s="7">
        <f t="shared" si="41"/>
        <v>14909.1</v>
      </c>
      <c r="X83" s="7">
        <f t="shared" si="42"/>
        <v>771325.6</v>
      </c>
      <c r="Y83" s="70">
        <f t="shared" si="43"/>
        <v>3085.3</v>
      </c>
      <c r="Z83" s="67">
        <f t="shared" si="44"/>
        <v>6104.2</v>
      </c>
      <c r="AA83" s="67">
        <f t="shared" si="45"/>
        <v>1271.7</v>
      </c>
      <c r="AB83" s="71">
        <f t="shared" si="46"/>
        <v>37896.699999999997</v>
      </c>
      <c r="AC83" s="71">
        <f t="shared" si="47"/>
        <v>23862.6</v>
      </c>
      <c r="AD83" s="71">
        <f t="shared" si="48"/>
        <v>14034.1</v>
      </c>
      <c r="AE83" s="78">
        <f t="shared" si="49"/>
        <v>68410.399999999994</v>
      </c>
      <c r="AF83" s="79">
        <v>49751.96</v>
      </c>
      <c r="AG83" s="79">
        <v>18658.43</v>
      </c>
      <c r="AH83" s="72">
        <f t="shared" si="50"/>
        <v>-30513.7</v>
      </c>
    </row>
    <row r="84" spans="1:34" hidden="1" x14ac:dyDescent="0.25">
      <c r="A84" s="59">
        <v>121</v>
      </c>
      <c r="B84" s="73" t="s">
        <v>128</v>
      </c>
      <c r="C84" s="74">
        <v>588</v>
      </c>
      <c r="D84" s="75"/>
      <c r="E84" s="62">
        <f t="shared" si="19"/>
        <v>588</v>
      </c>
      <c r="F84" s="63">
        <v>1.1200000000000001</v>
      </c>
      <c r="G84" s="76">
        <f t="shared" si="37"/>
        <v>658.56</v>
      </c>
      <c r="H84" s="77">
        <v>1980</v>
      </c>
      <c r="I84" s="63">
        <v>1</v>
      </c>
      <c r="J84" s="63">
        <v>1.1000000000000001</v>
      </c>
      <c r="K84" s="65">
        <f t="shared" si="38"/>
        <v>0.3659</v>
      </c>
      <c r="L84" s="65">
        <v>1</v>
      </c>
      <c r="M84" s="65"/>
      <c r="N84" s="66">
        <f t="shared" si="22"/>
        <v>19796</v>
      </c>
      <c r="O84" s="64">
        <v>1.8</v>
      </c>
      <c r="P84" s="7">
        <v>2.2000000000000002</v>
      </c>
      <c r="Q84" s="64">
        <v>1.302</v>
      </c>
      <c r="R84" s="67">
        <f t="shared" si="51"/>
        <v>1224799.1000000001</v>
      </c>
      <c r="S84" s="68">
        <f t="shared" si="24"/>
        <v>448154</v>
      </c>
      <c r="T84" s="69">
        <f t="shared" si="39"/>
        <v>6.7000000000000004E-2</v>
      </c>
      <c r="U84" s="7">
        <v>22440</v>
      </c>
      <c r="V84" s="7">
        <f t="shared" si="40"/>
        <v>49368</v>
      </c>
      <c r="W84" s="7">
        <f t="shared" si="41"/>
        <v>14909.1</v>
      </c>
      <c r="X84" s="7">
        <f t="shared" si="42"/>
        <v>771325.6</v>
      </c>
      <c r="Y84" s="70">
        <f t="shared" si="43"/>
        <v>51678.8</v>
      </c>
      <c r="Z84" s="67">
        <f t="shared" si="44"/>
        <v>99966.6</v>
      </c>
      <c r="AA84" s="67">
        <f t="shared" si="45"/>
        <v>20826.400000000001</v>
      </c>
      <c r="AB84" s="71">
        <f t="shared" si="46"/>
        <v>620625.80000000005</v>
      </c>
      <c r="AC84" s="71">
        <f t="shared" si="47"/>
        <v>390792.1</v>
      </c>
      <c r="AD84" s="71">
        <f t="shared" si="48"/>
        <v>229833.7</v>
      </c>
      <c r="AE84" s="78">
        <f t="shared" si="49"/>
        <v>1135208.8999999999</v>
      </c>
      <c r="AF84" s="79">
        <v>825589.11</v>
      </c>
      <c r="AG84" s="79">
        <v>309619.8</v>
      </c>
      <c r="AH84" s="72">
        <f t="shared" si="50"/>
        <v>-514583.1</v>
      </c>
    </row>
    <row r="85" spans="1:34" s="100" customFormat="1" x14ac:dyDescent="0.25">
      <c r="A85" s="101">
        <v>122</v>
      </c>
      <c r="B85" s="103" t="s">
        <v>129</v>
      </c>
      <c r="C85" s="104">
        <v>575.66999999999996</v>
      </c>
      <c r="D85" s="102">
        <v>1874</v>
      </c>
      <c r="E85" s="105">
        <f t="shared" si="19"/>
        <v>2449.67</v>
      </c>
      <c r="F85" s="63">
        <v>1.1200000000000001</v>
      </c>
      <c r="G85" s="106">
        <f t="shared" si="37"/>
        <v>2743.63</v>
      </c>
      <c r="H85" s="107">
        <v>1980</v>
      </c>
      <c r="I85" s="108">
        <v>1</v>
      </c>
      <c r="J85" s="108">
        <v>1.1000000000000001</v>
      </c>
      <c r="K85" s="109">
        <f t="shared" si="38"/>
        <v>1.5242</v>
      </c>
      <c r="L85" s="109">
        <v>2</v>
      </c>
      <c r="M85" s="109">
        <f>K85-L85</f>
        <v>-0.4758</v>
      </c>
      <c r="N85" s="66">
        <f t="shared" si="22"/>
        <v>19796</v>
      </c>
      <c r="O85" s="110">
        <v>1.8</v>
      </c>
      <c r="P85" s="111">
        <v>2.2000000000000002</v>
      </c>
      <c r="Q85" s="110">
        <v>1.302</v>
      </c>
      <c r="R85" s="111">
        <f t="shared" si="51"/>
        <v>1224799.1000000001</v>
      </c>
      <c r="S85" s="111">
        <f t="shared" si="24"/>
        <v>1866838.8</v>
      </c>
      <c r="T85" s="112">
        <f t="shared" si="39"/>
        <v>0.27700000000000002</v>
      </c>
      <c r="U85" s="7">
        <v>22440</v>
      </c>
      <c r="V85" s="68">
        <f t="shared" si="40"/>
        <v>49368</v>
      </c>
      <c r="W85" s="111">
        <f t="shared" si="41"/>
        <v>14909.1</v>
      </c>
      <c r="X85" s="68">
        <f t="shared" si="42"/>
        <v>771325.6</v>
      </c>
      <c r="Y85" s="68">
        <f t="shared" si="43"/>
        <v>213657.2</v>
      </c>
      <c r="Z85" s="68">
        <f t="shared" si="44"/>
        <v>416099.2</v>
      </c>
      <c r="AA85" s="68">
        <f t="shared" si="45"/>
        <v>86687.3</v>
      </c>
      <c r="AB85" s="113">
        <f t="shared" si="46"/>
        <v>2583282.5</v>
      </c>
      <c r="AC85" s="113">
        <f t="shared" si="47"/>
        <v>1626626.7</v>
      </c>
      <c r="AD85" s="113">
        <f t="shared" si="48"/>
        <v>956655.8</v>
      </c>
      <c r="AE85" s="78">
        <f t="shared" si="49"/>
        <v>5050374.5999999996</v>
      </c>
      <c r="AF85" s="102">
        <v>3636556.84</v>
      </c>
      <c r="AG85" s="102">
        <v>1413817.74</v>
      </c>
      <c r="AH85" s="72">
        <f t="shared" si="50"/>
        <v>-2467092.1</v>
      </c>
    </row>
    <row r="86" spans="1:34" x14ac:dyDescent="0.25">
      <c r="A86" s="59">
        <v>122</v>
      </c>
      <c r="B86" s="73" t="s">
        <v>130</v>
      </c>
      <c r="C86" s="74">
        <v>5</v>
      </c>
      <c r="D86" s="75"/>
      <c r="E86" s="62">
        <f t="shared" si="19"/>
        <v>5</v>
      </c>
      <c r="F86" s="63">
        <v>1.1200000000000001</v>
      </c>
      <c r="G86" s="76">
        <f t="shared" si="37"/>
        <v>5.6</v>
      </c>
      <c r="H86" s="77">
        <v>1980</v>
      </c>
      <c r="I86" s="63">
        <v>1</v>
      </c>
      <c r="J86" s="63">
        <v>1.1000000000000001</v>
      </c>
      <c r="K86" s="65">
        <f t="shared" si="38"/>
        <v>3.0999999999999999E-3</v>
      </c>
      <c r="L86" s="65">
        <v>1</v>
      </c>
      <c r="M86" s="65"/>
      <c r="N86" s="66">
        <f t="shared" si="22"/>
        <v>19796</v>
      </c>
      <c r="O86" s="64">
        <v>1.8</v>
      </c>
      <c r="P86" s="7">
        <v>2.2000000000000002</v>
      </c>
      <c r="Q86" s="64">
        <v>1.302</v>
      </c>
      <c r="R86" s="67">
        <f t="shared" si="51"/>
        <v>1224799.1000000001</v>
      </c>
      <c r="S86" s="68">
        <f t="shared" si="24"/>
        <v>3796.9</v>
      </c>
      <c r="T86" s="69">
        <f t="shared" si="39"/>
        <v>1E-3</v>
      </c>
      <c r="U86" s="7">
        <v>22440</v>
      </c>
      <c r="V86" s="7">
        <f t="shared" si="40"/>
        <v>49368</v>
      </c>
      <c r="W86" s="7">
        <f t="shared" si="41"/>
        <v>14909.1</v>
      </c>
      <c r="X86" s="7">
        <f t="shared" si="42"/>
        <v>771325.6</v>
      </c>
      <c r="Y86" s="70">
        <f t="shared" si="43"/>
        <v>771.3</v>
      </c>
      <c r="Z86" s="67">
        <f t="shared" si="44"/>
        <v>913.6</v>
      </c>
      <c r="AA86" s="67">
        <f t="shared" si="45"/>
        <v>190.3</v>
      </c>
      <c r="AB86" s="71">
        <f t="shared" si="46"/>
        <v>5672.1</v>
      </c>
      <c r="AC86" s="71">
        <f t="shared" si="47"/>
        <v>3571.6</v>
      </c>
      <c r="AD86" s="71">
        <f t="shared" si="48"/>
        <v>2100.5</v>
      </c>
      <c r="AE86" s="78">
        <f t="shared" si="49"/>
        <v>17541.099999999999</v>
      </c>
      <c r="AF86" s="79">
        <v>12756.91</v>
      </c>
      <c r="AG86" s="79">
        <v>4784.21</v>
      </c>
      <c r="AH86" s="72">
        <f t="shared" si="50"/>
        <v>-11869</v>
      </c>
    </row>
    <row r="87" spans="1:34" x14ac:dyDescent="0.25">
      <c r="A87" s="59">
        <v>122</v>
      </c>
      <c r="B87" s="73" t="s">
        <v>131</v>
      </c>
      <c r="C87" s="74">
        <v>93.33</v>
      </c>
      <c r="D87" s="75"/>
      <c r="E87" s="62">
        <f t="shared" si="19"/>
        <v>93.33</v>
      </c>
      <c r="F87" s="63">
        <v>1.1200000000000001</v>
      </c>
      <c r="G87" s="76">
        <f t="shared" si="37"/>
        <v>104.53</v>
      </c>
      <c r="H87" s="77">
        <v>1980</v>
      </c>
      <c r="I87" s="63">
        <v>1</v>
      </c>
      <c r="J87" s="63">
        <v>1.1000000000000001</v>
      </c>
      <c r="K87" s="65">
        <f t="shared" si="38"/>
        <v>5.8099999999999999E-2</v>
      </c>
      <c r="L87" s="65">
        <v>1</v>
      </c>
      <c r="M87" s="65"/>
      <c r="N87" s="66">
        <f t="shared" si="22"/>
        <v>19796</v>
      </c>
      <c r="O87" s="64">
        <v>1.8</v>
      </c>
      <c r="P87" s="7">
        <v>2.2000000000000002</v>
      </c>
      <c r="Q87" s="64">
        <v>1.302</v>
      </c>
      <c r="R87" s="67">
        <f t="shared" si="51"/>
        <v>1224799.1000000001</v>
      </c>
      <c r="S87" s="68">
        <f t="shared" si="24"/>
        <v>71160.800000000003</v>
      </c>
      <c r="T87" s="69">
        <f t="shared" si="39"/>
        <v>1.0999999999999999E-2</v>
      </c>
      <c r="U87" s="7">
        <v>22440</v>
      </c>
      <c r="V87" s="7">
        <f t="shared" si="40"/>
        <v>49368</v>
      </c>
      <c r="W87" s="7">
        <f t="shared" si="41"/>
        <v>14909.1</v>
      </c>
      <c r="X87" s="7">
        <f t="shared" si="42"/>
        <v>771325.6</v>
      </c>
      <c r="Y87" s="70">
        <f t="shared" si="43"/>
        <v>8484.6</v>
      </c>
      <c r="Z87" s="67">
        <f t="shared" si="44"/>
        <v>15929.1</v>
      </c>
      <c r="AA87" s="67">
        <f t="shared" si="45"/>
        <v>3318.6</v>
      </c>
      <c r="AB87" s="71">
        <f t="shared" si="46"/>
        <v>98893.1</v>
      </c>
      <c r="AC87" s="71">
        <f t="shared" si="47"/>
        <v>62270.400000000001</v>
      </c>
      <c r="AD87" s="71">
        <f t="shared" si="48"/>
        <v>36622.699999999997</v>
      </c>
      <c r="AE87" s="78">
        <f t="shared" si="49"/>
        <v>191198.3</v>
      </c>
      <c r="AF87" s="79">
        <v>139050.35999999999</v>
      </c>
      <c r="AG87" s="79">
        <v>52147.91</v>
      </c>
      <c r="AH87" s="72">
        <f t="shared" si="50"/>
        <v>-92305.2</v>
      </c>
    </row>
    <row r="88" spans="1:34" x14ac:dyDescent="0.25">
      <c r="A88" s="59">
        <v>122</v>
      </c>
      <c r="B88" s="73" t="s">
        <v>132</v>
      </c>
      <c r="C88" s="74">
        <v>2</v>
      </c>
      <c r="D88" s="75"/>
      <c r="E88" s="62">
        <f t="shared" si="19"/>
        <v>2</v>
      </c>
      <c r="F88" s="63">
        <v>1.1200000000000001</v>
      </c>
      <c r="G88" s="76">
        <f t="shared" si="37"/>
        <v>2.2400000000000002</v>
      </c>
      <c r="H88" s="77">
        <v>1980</v>
      </c>
      <c r="I88" s="63">
        <v>1</v>
      </c>
      <c r="J88" s="63">
        <v>1.1000000000000001</v>
      </c>
      <c r="K88" s="65">
        <f t="shared" si="38"/>
        <v>1.1999999999999999E-3</v>
      </c>
      <c r="L88" s="65">
        <v>1</v>
      </c>
      <c r="M88" s="65"/>
      <c r="N88" s="66">
        <f t="shared" si="22"/>
        <v>19796</v>
      </c>
      <c r="O88" s="64">
        <v>1.8</v>
      </c>
      <c r="P88" s="7">
        <v>2.2000000000000002</v>
      </c>
      <c r="Q88" s="64">
        <v>1.302</v>
      </c>
      <c r="R88" s="67">
        <f t="shared" si="51"/>
        <v>1224799.1000000001</v>
      </c>
      <c r="S88" s="68">
        <f t="shared" si="24"/>
        <v>1469.8</v>
      </c>
      <c r="T88" s="69">
        <f t="shared" si="39"/>
        <v>0</v>
      </c>
      <c r="U88" s="7">
        <v>22440</v>
      </c>
      <c r="V88" s="7">
        <f t="shared" si="40"/>
        <v>49368</v>
      </c>
      <c r="W88" s="7">
        <f t="shared" si="41"/>
        <v>14909.1</v>
      </c>
      <c r="X88" s="7">
        <f t="shared" si="42"/>
        <v>771325.6</v>
      </c>
      <c r="Y88" s="70">
        <f t="shared" si="43"/>
        <v>0</v>
      </c>
      <c r="Z88" s="67">
        <f t="shared" si="44"/>
        <v>294</v>
      </c>
      <c r="AA88" s="67">
        <f t="shared" si="45"/>
        <v>61.2</v>
      </c>
      <c r="AB88" s="71">
        <f t="shared" si="46"/>
        <v>1825</v>
      </c>
      <c r="AC88" s="71">
        <f t="shared" si="47"/>
        <v>1149.2</v>
      </c>
      <c r="AD88" s="71">
        <f t="shared" si="48"/>
        <v>675.8</v>
      </c>
      <c r="AE88" s="78">
        <f t="shared" si="49"/>
        <v>8770.6</v>
      </c>
      <c r="AF88" s="79">
        <v>6378.46</v>
      </c>
      <c r="AG88" s="79">
        <v>2392.11</v>
      </c>
      <c r="AH88" s="72">
        <f t="shared" si="50"/>
        <v>-6945.6</v>
      </c>
    </row>
    <row r="89" spans="1:34" x14ac:dyDescent="0.25">
      <c r="A89" s="59">
        <v>122</v>
      </c>
      <c r="B89" s="73" t="s">
        <v>133</v>
      </c>
      <c r="C89" s="74">
        <v>14.67</v>
      </c>
      <c r="D89" s="75"/>
      <c r="E89" s="62">
        <f t="shared" si="19"/>
        <v>14.67</v>
      </c>
      <c r="F89" s="63">
        <v>1.1200000000000001</v>
      </c>
      <c r="G89" s="76">
        <f t="shared" si="37"/>
        <v>16.43</v>
      </c>
      <c r="H89" s="77">
        <v>1980</v>
      </c>
      <c r="I89" s="63">
        <v>1</v>
      </c>
      <c r="J89" s="63">
        <v>1.1000000000000001</v>
      </c>
      <c r="K89" s="65">
        <f t="shared" si="38"/>
        <v>9.1000000000000004E-3</v>
      </c>
      <c r="L89" s="65">
        <v>1</v>
      </c>
      <c r="M89" s="65"/>
      <c r="N89" s="66">
        <f t="shared" si="22"/>
        <v>19796</v>
      </c>
      <c r="O89" s="64">
        <v>1.8</v>
      </c>
      <c r="P89" s="7">
        <v>2.2000000000000002</v>
      </c>
      <c r="Q89" s="64">
        <v>1.302</v>
      </c>
      <c r="R89" s="67">
        <f t="shared" si="51"/>
        <v>1224799.1000000001</v>
      </c>
      <c r="S89" s="68">
        <f t="shared" si="24"/>
        <v>11145.7</v>
      </c>
      <c r="T89" s="69">
        <f t="shared" si="39"/>
        <v>2E-3</v>
      </c>
      <c r="U89" s="7">
        <v>22440</v>
      </c>
      <c r="V89" s="7">
        <f t="shared" si="40"/>
        <v>49368</v>
      </c>
      <c r="W89" s="7">
        <f t="shared" si="41"/>
        <v>14909.1</v>
      </c>
      <c r="X89" s="7">
        <f t="shared" si="42"/>
        <v>771325.6</v>
      </c>
      <c r="Y89" s="70">
        <f t="shared" si="43"/>
        <v>1542.7</v>
      </c>
      <c r="Z89" s="67">
        <f t="shared" si="44"/>
        <v>2537.6999999999998</v>
      </c>
      <c r="AA89" s="67">
        <f t="shared" si="45"/>
        <v>528.70000000000005</v>
      </c>
      <c r="AB89" s="71">
        <f t="shared" si="46"/>
        <v>15754.8</v>
      </c>
      <c r="AC89" s="71">
        <f t="shared" si="47"/>
        <v>9920.4</v>
      </c>
      <c r="AD89" s="71">
        <f t="shared" si="48"/>
        <v>5834.4</v>
      </c>
      <c r="AE89" s="78">
        <f t="shared" si="49"/>
        <v>38590.5</v>
      </c>
      <c r="AF89" s="79">
        <v>28065.21</v>
      </c>
      <c r="AG89" s="79">
        <v>10525.27</v>
      </c>
      <c r="AH89" s="72">
        <f t="shared" si="50"/>
        <v>-22835.7</v>
      </c>
    </row>
    <row r="90" spans="1:34" x14ac:dyDescent="0.25">
      <c r="A90" s="59">
        <v>122</v>
      </c>
      <c r="B90" s="73" t="s">
        <v>134</v>
      </c>
      <c r="C90" s="74">
        <v>7.33</v>
      </c>
      <c r="D90" s="75"/>
      <c r="E90" s="62">
        <f t="shared" si="19"/>
        <v>7.33</v>
      </c>
      <c r="F90" s="63">
        <v>1.1200000000000001</v>
      </c>
      <c r="G90" s="76">
        <f t="shared" si="37"/>
        <v>8.2100000000000009</v>
      </c>
      <c r="H90" s="77">
        <v>1980</v>
      </c>
      <c r="I90" s="63">
        <v>1</v>
      </c>
      <c r="J90" s="63">
        <v>1.1000000000000001</v>
      </c>
      <c r="K90" s="65">
        <f t="shared" si="38"/>
        <v>4.5999999999999999E-3</v>
      </c>
      <c r="L90" s="65">
        <v>1</v>
      </c>
      <c r="M90" s="65"/>
      <c r="N90" s="66">
        <f t="shared" si="22"/>
        <v>19796</v>
      </c>
      <c r="O90" s="64">
        <v>1.8</v>
      </c>
      <c r="P90" s="7">
        <v>2.2000000000000002</v>
      </c>
      <c r="Q90" s="64">
        <v>1.302</v>
      </c>
      <c r="R90" s="67">
        <f t="shared" si="51"/>
        <v>1224799.1000000001</v>
      </c>
      <c r="S90" s="68">
        <f t="shared" si="24"/>
        <v>5634.1</v>
      </c>
      <c r="T90" s="69">
        <f t="shared" si="39"/>
        <v>1E-3</v>
      </c>
      <c r="U90" s="7">
        <v>22440</v>
      </c>
      <c r="V90" s="7">
        <f t="shared" si="40"/>
        <v>49368</v>
      </c>
      <c r="W90" s="7">
        <f t="shared" si="41"/>
        <v>14909.1</v>
      </c>
      <c r="X90" s="7">
        <f t="shared" si="42"/>
        <v>771325.6</v>
      </c>
      <c r="Y90" s="70">
        <f t="shared" si="43"/>
        <v>771.3</v>
      </c>
      <c r="Z90" s="67">
        <f t="shared" si="44"/>
        <v>1281.0999999999999</v>
      </c>
      <c r="AA90" s="67">
        <f t="shared" si="45"/>
        <v>266.89999999999998</v>
      </c>
      <c r="AB90" s="71">
        <f t="shared" si="46"/>
        <v>7953.4</v>
      </c>
      <c r="AC90" s="71">
        <f t="shared" si="47"/>
        <v>5008.1000000000004</v>
      </c>
      <c r="AD90" s="71">
        <f t="shared" si="48"/>
        <v>2945.3</v>
      </c>
      <c r="AE90" s="78">
        <f t="shared" si="49"/>
        <v>15787</v>
      </c>
      <c r="AF90" s="79">
        <v>11481.22</v>
      </c>
      <c r="AG90" s="79">
        <v>4305.79</v>
      </c>
      <c r="AH90" s="72">
        <f t="shared" si="50"/>
        <v>-7833.6</v>
      </c>
    </row>
    <row r="91" spans="1:34" x14ac:dyDescent="0.25">
      <c r="A91" s="59">
        <v>122</v>
      </c>
      <c r="B91" s="73" t="s">
        <v>135</v>
      </c>
      <c r="C91" s="74">
        <v>2</v>
      </c>
      <c r="D91" s="75"/>
      <c r="E91" s="62">
        <f t="shared" si="19"/>
        <v>2</v>
      </c>
      <c r="F91" s="63">
        <v>1.1200000000000001</v>
      </c>
      <c r="G91" s="76">
        <f t="shared" si="37"/>
        <v>2.2400000000000002</v>
      </c>
      <c r="H91" s="77">
        <v>1980</v>
      </c>
      <c r="I91" s="63">
        <v>1</v>
      </c>
      <c r="J91" s="63">
        <v>1.1000000000000001</v>
      </c>
      <c r="K91" s="65">
        <f t="shared" si="38"/>
        <v>1.1999999999999999E-3</v>
      </c>
      <c r="L91" s="65">
        <v>1</v>
      </c>
      <c r="M91" s="65"/>
      <c r="N91" s="66">
        <f t="shared" si="22"/>
        <v>19796</v>
      </c>
      <c r="O91" s="64">
        <v>1.8</v>
      </c>
      <c r="P91" s="7">
        <v>2.2000000000000002</v>
      </c>
      <c r="Q91" s="64">
        <v>1.302</v>
      </c>
      <c r="R91" s="67">
        <f t="shared" si="51"/>
        <v>1224799.1000000001</v>
      </c>
      <c r="S91" s="68">
        <f t="shared" si="24"/>
        <v>1469.8</v>
      </c>
      <c r="T91" s="69">
        <f t="shared" si="39"/>
        <v>0</v>
      </c>
      <c r="U91" s="7">
        <v>22440</v>
      </c>
      <c r="V91" s="7">
        <f t="shared" si="40"/>
        <v>49368</v>
      </c>
      <c r="W91" s="7">
        <f t="shared" si="41"/>
        <v>14909.1</v>
      </c>
      <c r="X91" s="7">
        <f t="shared" si="42"/>
        <v>771325.6</v>
      </c>
      <c r="Y91" s="70">
        <f t="shared" si="43"/>
        <v>0</v>
      </c>
      <c r="Z91" s="67">
        <f t="shared" si="44"/>
        <v>294</v>
      </c>
      <c r="AA91" s="67">
        <f t="shared" si="45"/>
        <v>61.2</v>
      </c>
      <c r="AB91" s="71">
        <f t="shared" si="46"/>
        <v>1825</v>
      </c>
      <c r="AC91" s="71">
        <f t="shared" si="47"/>
        <v>1149.2</v>
      </c>
      <c r="AD91" s="71">
        <f t="shared" si="48"/>
        <v>675.8</v>
      </c>
      <c r="AE91" s="78">
        <f t="shared" si="49"/>
        <v>10524.7</v>
      </c>
      <c r="AF91" s="79">
        <v>7654.15</v>
      </c>
      <c r="AG91" s="79">
        <v>2870.53</v>
      </c>
      <c r="AH91" s="72">
        <f t="shared" si="50"/>
        <v>-8699.7000000000007</v>
      </c>
    </row>
    <row r="92" spans="1:34" x14ac:dyDescent="0.25">
      <c r="A92" s="59">
        <v>122</v>
      </c>
      <c r="B92" s="115" t="s">
        <v>136</v>
      </c>
      <c r="C92" s="116">
        <v>13.33</v>
      </c>
      <c r="D92" s="117"/>
      <c r="E92" s="62">
        <f t="shared" si="19"/>
        <v>13.33</v>
      </c>
      <c r="F92" s="63">
        <v>1.1200000000000001</v>
      </c>
      <c r="G92" s="118">
        <f t="shared" si="37"/>
        <v>14.93</v>
      </c>
      <c r="H92" s="119">
        <v>1980</v>
      </c>
      <c r="I92" s="63">
        <v>1</v>
      </c>
      <c r="J92" s="63">
        <v>1.1000000000000001</v>
      </c>
      <c r="K92" s="65">
        <f t="shared" si="38"/>
        <v>8.3000000000000001E-3</v>
      </c>
      <c r="L92" s="65">
        <v>1</v>
      </c>
      <c r="M92" s="65"/>
      <c r="N92" s="66">
        <f t="shared" si="22"/>
        <v>19796</v>
      </c>
      <c r="O92" s="64">
        <v>1.8</v>
      </c>
      <c r="P92" s="120">
        <v>2.2000000000000002</v>
      </c>
      <c r="Q92" s="119">
        <v>1.302</v>
      </c>
      <c r="R92" s="67">
        <f t="shared" si="51"/>
        <v>1224799.1000000001</v>
      </c>
      <c r="S92" s="68">
        <f t="shared" si="24"/>
        <v>10165.799999999999</v>
      </c>
      <c r="T92" s="69">
        <f t="shared" si="39"/>
        <v>2E-3</v>
      </c>
      <c r="U92" s="7">
        <v>22440</v>
      </c>
      <c r="V92" s="7">
        <f t="shared" si="40"/>
        <v>49368</v>
      </c>
      <c r="W92" s="7">
        <f t="shared" si="41"/>
        <v>14909.1</v>
      </c>
      <c r="X92" s="7">
        <f t="shared" si="42"/>
        <v>771325.6</v>
      </c>
      <c r="Y92" s="70">
        <f t="shared" si="43"/>
        <v>1542.7</v>
      </c>
      <c r="Z92" s="67">
        <f t="shared" si="44"/>
        <v>2341.6999999999998</v>
      </c>
      <c r="AA92" s="67">
        <f t="shared" si="45"/>
        <v>487.9</v>
      </c>
      <c r="AB92" s="71">
        <f t="shared" si="46"/>
        <v>14538.1</v>
      </c>
      <c r="AC92" s="71">
        <f t="shared" si="47"/>
        <v>9154.2999999999993</v>
      </c>
      <c r="AD92" s="71">
        <f t="shared" si="48"/>
        <v>5383.8</v>
      </c>
      <c r="AE92" s="78">
        <f t="shared" si="49"/>
        <v>22803.5</v>
      </c>
      <c r="AF92" s="79">
        <v>16583.990000000002</v>
      </c>
      <c r="AG92" s="79">
        <v>6219.48</v>
      </c>
      <c r="AH92" s="121">
        <f t="shared" si="50"/>
        <v>-8265.4</v>
      </c>
    </row>
    <row r="93" spans="1:34" x14ac:dyDescent="0.25">
      <c r="A93" s="122"/>
      <c r="B93" s="123" t="s">
        <v>137</v>
      </c>
      <c r="C93" s="124">
        <f>SUM(C6:C92)</f>
        <v>54830.3</v>
      </c>
      <c r="D93" s="124">
        <f t="shared" ref="D93:E93" si="52">SUM(D6:D92)</f>
        <v>218765.7</v>
      </c>
      <c r="E93" s="124">
        <f t="shared" si="52"/>
        <v>273596</v>
      </c>
      <c r="F93" s="125"/>
      <c r="G93" s="126"/>
      <c r="H93" s="126"/>
      <c r="I93" s="125"/>
      <c r="J93" s="125"/>
      <c r="K93" s="127">
        <f t="shared" ref="K93:AA93" si="53">SUM(K6:K92)</f>
        <v>170.2</v>
      </c>
      <c r="L93" s="127">
        <f t="shared" si="53"/>
        <v>167</v>
      </c>
      <c r="M93" s="127"/>
      <c r="N93" s="126"/>
      <c r="O93" s="126"/>
      <c r="P93" s="128"/>
      <c r="Q93" s="128"/>
      <c r="R93" s="129">
        <f>SUM(R6:R92)</f>
        <v>108728757</v>
      </c>
      <c r="S93" s="130">
        <f>SUM(S6:S92)</f>
        <v>209445283.69999999</v>
      </c>
      <c r="T93" s="131">
        <f t="shared" si="53"/>
        <v>30.952000000000002</v>
      </c>
      <c r="U93" s="132"/>
      <c r="V93" s="132"/>
      <c r="W93" s="132"/>
      <c r="X93" s="132"/>
      <c r="Y93" s="133">
        <f>SUM(Y6:Y92)</f>
        <v>23981354.5</v>
      </c>
      <c r="Z93" s="132">
        <f>SUM(Z6:Z92)</f>
        <v>46685327.700000003</v>
      </c>
      <c r="AA93" s="132">
        <f t="shared" si="53"/>
        <v>9726110.1999999993</v>
      </c>
      <c r="AB93" s="134">
        <f>SUM(AB6:AB92)</f>
        <v>289838076.10000002</v>
      </c>
      <c r="AC93" s="134">
        <v>182503600</v>
      </c>
      <c r="AD93" s="134">
        <f>SUM(AD6:AD92)</f>
        <v>107334476.09999999</v>
      </c>
      <c r="AE93" s="134">
        <f t="shared" ref="AE93:AG93" si="54">SUM(AE6:AE92)</f>
        <v>246737692.5</v>
      </c>
      <c r="AF93" s="134">
        <f t="shared" si="54"/>
        <v>177749189.80000001</v>
      </c>
      <c r="AG93" s="134">
        <f t="shared" si="54"/>
        <v>68988502.099999994</v>
      </c>
      <c r="AH93" s="135">
        <f t="shared" si="50"/>
        <v>43100383.600000001</v>
      </c>
    </row>
    <row r="94" spans="1:34" x14ac:dyDescent="0.25">
      <c r="AB94" s="136">
        <f>AB93/1000</f>
        <v>289838.09999999998</v>
      </c>
    </row>
    <row r="95" spans="1:34" ht="15.75" x14ac:dyDescent="0.25">
      <c r="Z95" s="137" t="s">
        <v>138</v>
      </c>
      <c r="AA95" s="138" t="s">
        <v>139</v>
      </c>
      <c r="AB95" s="139">
        <v>496.4</v>
      </c>
      <c r="AC95" s="1" t="s">
        <v>140</v>
      </c>
    </row>
    <row r="96" spans="1:34" x14ac:dyDescent="0.25">
      <c r="AA96" s="140" t="s">
        <v>141</v>
      </c>
      <c r="AB96" s="141">
        <f>AB94+AB95</f>
        <v>290334.5</v>
      </c>
    </row>
  </sheetData>
  <mergeCells count="10">
    <mergeCell ref="AE3:AG3"/>
    <mergeCell ref="AH3:AH4"/>
    <mergeCell ref="A1:AB1"/>
    <mergeCell ref="A2:AB2"/>
    <mergeCell ref="A3:A4"/>
    <mergeCell ref="B3:B4"/>
    <mergeCell ref="C3:E3"/>
    <mergeCell ref="F3:M3"/>
    <mergeCell ref="N3:S3"/>
    <mergeCell ref="AB3:AD3"/>
  </mergeCells>
  <pageMargins left="0.7" right="0.7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119"/>
  <sheetViews>
    <sheetView tabSelected="1" zoomScale="85" zoomScaleNormal="85" workbookViewId="0">
      <pane xSplit="2" ySplit="5" topLeftCell="M85" activePane="bottomRight" state="frozen"/>
      <selection activeCell="L50" sqref="L50"/>
      <selection pane="topRight"/>
      <selection pane="bottomLeft"/>
      <selection pane="bottomRight" activeCell="S4" sqref="S4"/>
    </sheetView>
  </sheetViews>
  <sheetFormatPr defaultRowHeight="15" x14ac:dyDescent="0.25"/>
  <cols>
    <col min="1" max="1" width="5.85546875" style="1" customWidth="1"/>
    <col min="2" max="2" width="21.85546875" style="1" customWidth="1"/>
    <col min="3" max="5" width="11.140625" style="1" customWidth="1"/>
    <col min="6" max="8" width="9" style="1" customWidth="1"/>
    <col min="9" max="9" width="9" style="354" customWidth="1"/>
    <col min="10" max="13" width="9" style="1" customWidth="1"/>
    <col min="14" max="14" width="9.42578125" style="1" customWidth="1"/>
    <col min="15" max="17" width="9" style="1" customWidth="1"/>
    <col min="18" max="18" width="14.5703125" style="1" customWidth="1"/>
    <col min="19" max="19" width="15" style="1" customWidth="1"/>
    <col min="20" max="23" width="9" style="1" customWidth="1"/>
    <col min="24" max="24" width="12.42578125" style="1" customWidth="1"/>
    <col min="25" max="25" width="14.140625" style="1" customWidth="1"/>
    <col min="26" max="26" width="15" style="1" customWidth="1"/>
    <col min="27" max="27" width="14" style="1" customWidth="1"/>
    <col min="28" max="30" width="16.140625" style="1" customWidth="1"/>
    <col min="31" max="31" width="15.5703125" style="1" customWidth="1"/>
    <col min="32" max="32" width="13.85546875" style="1" customWidth="1"/>
    <col min="33" max="33" width="13.140625" style="1" customWidth="1"/>
    <col min="34" max="34" width="15" style="1" customWidth="1"/>
    <col min="35" max="35" width="9" style="1" customWidth="1"/>
    <col min="36" max="16384" width="9.140625" style="1"/>
  </cols>
  <sheetData>
    <row r="1" spans="1:34" ht="42" customHeight="1" x14ac:dyDescent="0.3">
      <c r="A1" s="362" t="s">
        <v>0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  <c r="AB1" s="362"/>
      <c r="AC1" s="4"/>
      <c r="AD1" s="4"/>
    </row>
    <row r="2" spans="1:34" ht="42" customHeight="1" x14ac:dyDescent="0.3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A2" s="363"/>
      <c r="AB2" s="363"/>
      <c r="AC2" s="5"/>
      <c r="AD2" s="5"/>
      <c r="AH2" s="450" t="s">
        <v>468</v>
      </c>
    </row>
    <row r="3" spans="1:34" ht="38.25" customHeight="1" x14ac:dyDescent="0.3">
      <c r="A3" s="364" t="s">
        <v>1</v>
      </c>
      <c r="B3" s="366" t="s">
        <v>2</v>
      </c>
      <c r="C3" s="379" t="s">
        <v>3</v>
      </c>
      <c r="D3" s="380"/>
      <c r="E3" s="380"/>
      <c r="F3" s="381" t="s">
        <v>4</v>
      </c>
      <c r="G3" s="382"/>
      <c r="H3" s="382"/>
      <c r="I3" s="382"/>
      <c r="J3" s="382"/>
      <c r="K3" s="382"/>
      <c r="L3" s="382"/>
      <c r="M3" s="383"/>
      <c r="N3" s="384" t="s">
        <v>5</v>
      </c>
      <c r="O3" s="385"/>
      <c r="P3" s="385"/>
      <c r="Q3" s="385"/>
      <c r="R3" s="385"/>
      <c r="S3" s="386"/>
      <c r="T3" s="6"/>
      <c r="U3" s="7"/>
      <c r="V3" s="6"/>
      <c r="W3" s="6"/>
      <c r="X3" s="6"/>
      <c r="Y3" s="6"/>
      <c r="Z3" s="8"/>
      <c r="AA3" s="8"/>
      <c r="AB3" s="376" t="s">
        <v>6</v>
      </c>
      <c r="AC3" s="377"/>
      <c r="AD3" s="378"/>
      <c r="AE3" s="357" t="s">
        <v>7</v>
      </c>
      <c r="AF3" s="358"/>
      <c r="AG3" s="359"/>
      <c r="AH3" s="360" t="s">
        <v>8</v>
      </c>
    </row>
    <row r="4" spans="1:34" s="9" customFormat="1" ht="141" customHeight="1" x14ac:dyDescent="0.2">
      <c r="A4" s="365"/>
      <c r="B4" s="367"/>
      <c r="C4" s="302" t="s">
        <v>9</v>
      </c>
      <c r="D4" s="303" t="s">
        <v>10</v>
      </c>
      <c r="E4" s="304" t="s">
        <v>11</v>
      </c>
      <c r="F4" s="13" t="s">
        <v>12</v>
      </c>
      <c r="G4" s="303" t="s">
        <v>13</v>
      </c>
      <c r="H4" s="305" t="s">
        <v>14</v>
      </c>
      <c r="I4" s="306" t="s">
        <v>15</v>
      </c>
      <c r="J4" s="307" t="s">
        <v>16</v>
      </c>
      <c r="K4" s="308" t="s">
        <v>17</v>
      </c>
      <c r="L4" s="309" t="s">
        <v>18</v>
      </c>
      <c r="M4" s="310" t="s">
        <v>19</v>
      </c>
      <c r="N4" s="311" t="s">
        <v>20</v>
      </c>
      <c r="O4" s="307" t="s">
        <v>21</v>
      </c>
      <c r="P4" s="307" t="s">
        <v>22</v>
      </c>
      <c r="Q4" s="307" t="s">
        <v>23</v>
      </c>
      <c r="R4" s="312" t="s">
        <v>24</v>
      </c>
      <c r="S4" s="313" t="s">
        <v>25</v>
      </c>
      <c r="T4" s="314" t="s">
        <v>26</v>
      </c>
      <c r="U4" s="315" t="s">
        <v>27</v>
      </c>
      <c r="V4" s="316" t="s">
        <v>28</v>
      </c>
      <c r="W4" s="317" t="s">
        <v>29</v>
      </c>
      <c r="X4" s="315" t="s">
        <v>30</v>
      </c>
      <c r="Y4" s="315" t="s">
        <v>31</v>
      </c>
      <c r="Z4" s="28" t="s">
        <v>32</v>
      </c>
      <c r="AA4" s="29" t="s">
        <v>33</v>
      </c>
      <c r="AB4" s="30" t="s">
        <v>34</v>
      </c>
      <c r="AC4" s="31" t="s">
        <v>35</v>
      </c>
      <c r="AD4" s="32" t="s">
        <v>36</v>
      </c>
      <c r="AE4" s="33" t="s">
        <v>37</v>
      </c>
      <c r="AF4" s="31" t="s">
        <v>35</v>
      </c>
      <c r="AG4" s="32" t="s">
        <v>36</v>
      </c>
      <c r="AH4" s="361"/>
    </row>
    <row r="5" spans="1:34" ht="67.5" x14ac:dyDescent="0.25">
      <c r="A5" s="34"/>
      <c r="B5" s="35"/>
      <c r="C5" s="318" t="s">
        <v>38</v>
      </c>
      <c r="D5" s="319" t="s">
        <v>38</v>
      </c>
      <c r="E5" s="320" t="s">
        <v>39</v>
      </c>
      <c r="F5" s="39" t="s">
        <v>142</v>
      </c>
      <c r="G5" s="321" t="s">
        <v>143</v>
      </c>
      <c r="H5" s="321"/>
      <c r="I5" s="322"/>
      <c r="J5" s="323"/>
      <c r="K5" s="323" t="s">
        <v>41</v>
      </c>
      <c r="L5" s="324"/>
      <c r="M5" s="325"/>
      <c r="N5" s="326" t="s">
        <v>144</v>
      </c>
      <c r="O5" s="327"/>
      <c r="P5" s="327"/>
      <c r="Q5" s="327"/>
      <c r="R5" s="52" t="s">
        <v>43</v>
      </c>
      <c r="S5" s="328" t="s">
        <v>44</v>
      </c>
      <c r="T5" s="329" t="s">
        <v>45</v>
      </c>
      <c r="U5" s="52" t="s">
        <v>145</v>
      </c>
      <c r="V5" s="327"/>
      <c r="W5" s="327"/>
      <c r="X5" s="52"/>
      <c r="Y5" s="52" t="s">
        <v>46</v>
      </c>
      <c r="Z5" s="52" t="s">
        <v>47</v>
      </c>
      <c r="AA5" s="52" t="s">
        <v>48</v>
      </c>
      <c r="AB5" s="53" t="s">
        <v>49</v>
      </c>
      <c r="AC5" s="54"/>
      <c r="AD5" s="54"/>
      <c r="AE5" s="55"/>
      <c r="AF5" s="56"/>
      <c r="AG5" s="57"/>
      <c r="AH5" s="58"/>
    </row>
    <row r="6" spans="1:34" hidden="1" x14ac:dyDescent="0.25">
      <c r="A6" s="59">
        <v>101</v>
      </c>
      <c r="B6" s="60" t="s">
        <v>50</v>
      </c>
      <c r="C6" s="330">
        <v>1791.33</v>
      </c>
      <c r="D6" s="72">
        <v>6826.67</v>
      </c>
      <c r="E6" s="72">
        <f t="shared" ref="E6:E45" si="0">(C6+D6)</f>
        <v>8618</v>
      </c>
      <c r="F6" s="63">
        <v>1.1399999999999999</v>
      </c>
      <c r="G6" s="63">
        <f t="shared" ref="G6:G37" si="1">E6*F6</f>
        <v>9824.52</v>
      </c>
      <c r="H6" s="64">
        <v>1980</v>
      </c>
      <c r="I6" s="331">
        <v>1.0069999999999999</v>
      </c>
      <c r="J6" s="63">
        <v>1.1000000000000001</v>
      </c>
      <c r="K6" s="332">
        <f t="shared" ref="K6:K69" si="2">(G6/H6)*I6*J6</f>
        <v>5.4962999999999997</v>
      </c>
      <c r="L6" s="332">
        <v>4</v>
      </c>
      <c r="M6" s="332">
        <f t="shared" ref="M6:M19" si="3">K6-L6</f>
        <v>1.4963</v>
      </c>
      <c r="N6" s="66">
        <f t="shared" ref="N6:N69" si="4">18042*1.04*1.055*1.076</f>
        <v>21300</v>
      </c>
      <c r="O6" s="64">
        <v>1.8</v>
      </c>
      <c r="P6" s="7">
        <v>2.2000000000000002</v>
      </c>
      <c r="Q6" s="64">
        <v>1.302</v>
      </c>
      <c r="R6" s="7">
        <f t="shared" ref="R6:R69" si="5">N6*O6*P6*Q6*12</f>
        <v>1317853.2</v>
      </c>
      <c r="S6" s="7">
        <f t="shared" ref="S6:S37" si="6">(R6*K6)</f>
        <v>7243316.5</v>
      </c>
      <c r="T6" s="69">
        <f t="shared" ref="T6:T69" si="7">K6/J6*0.2</f>
        <v>0.999</v>
      </c>
      <c r="U6" s="7">
        <v>27093</v>
      </c>
      <c r="V6" s="7">
        <f t="shared" ref="V6:V69" si="8">U6*P6</f>
        <v>59604.6</v>
      </c>
      <c r="W6" s="7">
        <f t="shared" ref="W6:W69" si="9">V6*0.302</f>
        <v>18000.599999999999</v>
      </c>
      <c r="X6" s="7">
        <f t="shared" ref="X6:X69" si="10">V6*1.302*12</f>
        <v>931262.3</v>
      </c>
      <c r="Y6" s="7">
        <f t="shared" ref="Y6:Y69" si="11">X6*T6</f>
        <v>930331</v>
      </c>
      <c r="Z6" s="7">
        <f t="shared" ref="Z6:Z69" si="12">(S6+Y6)*0.2</f>
        <v>1634729.5</v>
      </c>
      <c r="AA6" s="7">
        <f t="shared" ref="AA6:AA69" si="13">(K6/2)*(R6/12)+(T6/2)*(X6/12)</f>
        <v>340568.6</v>
      </c>
      <c r="AB6" s="71">
        <f t="shared" ref="AB6:AB69" si="14">S6+Y6+Z6+AA6</f>
        <v>10148945.6</v>
      </c>
      <c r="AC6" s="71">
        <f t="shared" ref="AC6:AC69" si="15">AB6/$AB$93*$AC$93</f>
        <v>5971263.2999999998</v>
      </c>
      <c r="AD6" s="71">
        <f t="shared" ref="AD6:AD69" si="16">AB6-AC6</f>
        <v>4177682.3</v>
      </c>
      <c r="AE6" s="7">
        <f t="shared" ref="AE6:AE69" si="17">AF6+AG6</f>
        <v>8859100</v>
      </c>
      <c r="AF6" s="72">
        <v>6379000</v>
      </c>
      <c r="AG6" s="72">
        <v>2480100</v>
      </c>
      <c r="AH6" s="72">
        <f t="shared" ref="AH6:AH69" si="18">AB6-AE6</f>
        <v>1289845.6000000001</v>
      </c>
    </row>
    <row r="7" spans="1:34" hidden="1" x14ac:dyDescent="0.25">
      <c r="A7" s="59">
        <v>102</v>
      </c>
      <c r="B7" s="73" t="s">
        <v>51</v>
      </c>
      <c r="C7" s="333">
        <v>1143.33</v>
      </c>
      <c r="D7" s="79">
        <v>4887.67</v>
      </c>
      <c r="E7" s="72">
        <f t="shared" si="0"/>
        <v>6031</v>
      </c>
      <c r="F7" s="63">
        <v>1.1399999999999999</v>
      </c>
      <c r="G7" s="76">
        <f t="shared" si="1"/>
        <v>6875.34</v>
      </c>
      <c r="H7" s="77">
        <v>1980</v>
      </c>
      <c r="I7" s="331">
        <v>1</v>
      </c>
      <c r="J7" s="63">
        <v>1.1000000000000001</v>
      </c>
      <c r="K7" s="332">
        <f t="shared" si="2"/>
        <v>3.8195999999999999</v>
      </c>
      <c r="L7" s="332">
        <v>3</v>
      </c>
      <c r="M7" s="332">
        <f t="shared" si="3"/>
        <v>0.8196</v>
      </c>
      <c r="N7" s="66">
        <f t="shared" si="4"/>
        <v>21300</v>
      </c>
      <c r="O7" s="64">
        <v>1.8</v>
      </c>
      <c r="P7" s="7">
        <v>2.2000000000000002</v>
      </c>
      <c r="Q7" s="64">
        <v>1.302</v>
      </c>
      <c r="R7" s="7">
        <f t="shared" si="5"/>
        <v>1317853.2</v>
      </c>
      <c r="S7" s="7">
        <f t="shared" si="6"/>
        <v>5033672.0999999996</v>
      </c>
      <c r="T7" s="69">
        <f t="shared" si="7"/>
        <v>0.69399999999999995</v>
      </c>
      <c r="U7" s="7">
        <v>27093</v>
      </c>
      <c r="V7" s="7">
        <f t="shared" si="8"/>
        <v>59604.6</v>
      </c>
      <c r="W7" s="7">
        <f t="shared" si="9"/>
        <v>18000.599999999999</v>
      </c>
      <c r="X7" s="7">
        <f t="shared" si="10"/>
        <v>931262.3</v>
      </c>
      <c r="Y7" s="7">
        <f t="shared" si="11"/>
        <v>646296</v>
      </c>
      <c r="Z7" s="7">
        <f t="shared" si="12"/>
        <v>1135993.6000000001</v>
      </c>
      <c r="AA7" s="7">
        <f t="shared" si="13"/>
        <v>236665.3</v>
      </c>
      <c r="AB7" s="71">
        <f t="shared" si="14"/>
        <v>7052627</v>
      </c>
      <c r="AC7" s="71">
        <f t="shared" si="15"/>
        <v>4149504.2</v>
      </c>
      <c r="AD7" s="71">
        <f t="shared" si="16"/>
        <v>2903122.8</v>
      </c>
      <c r="AE7" s="78">
        <f t="shared" si="17"/>
        <v>6829800</v>
      </c>
      <c r="AF7" s="79">
        <v>4917800</v>
      </c>
      <c r="AG7" s="79">
        <v>1912000</v>
      </c>
      <c r="AH7" s="72">
        <f t="shared" si="18"/>
        <v>222827</v>
      </c>
    </row>
    <row r="8" spans="1:34" hidden="1" x14ac:dyDescent="0.25">
      <c r="A8" s="59">
        <v>103</v>
      </c>
      <c r="B8" s="73" t="s">
        <v>52</v>
      </c>
      <c r="C8" s="333">
        <v>1566.33</v>
      </c>
      <c r="D8" s="79">
        <v>5557.67</v>
      </c>
      <c r="E8" s="72">
        <f t="shared" si="0"/>
        <v>7124</v>
      </c>
      <c r="F8" s="63">
        <v>1.1399999999999999</v>
      </c>
      <c r="G8" s="76">
        <f t="shared" si="1"/>
        <v>8121.36</v>
      </c>
      <c r="H8" s="77">
        <v>1980</v>
      </c>
      <c r="I8" s="331">
        <v>1</v>
      </c>
      <c r="J8" s="63">
        <v>1.1000000000000001</v>
      </c>
      <c r="K8" s="332">
        <f t="shared" si="2"/>
        <v>4.5118999999999998</v>
      </c>
      <c r="L8" s="332">
        <v>4</v>
      </c>
      <c r="M8" s="332">
        <f t="shared" si="3"/>
        <v>0.51190000000000002</v>
      </c>
      <c r="N8" s="66">
        <f t="shared" si="4"/>
        <v>21300</v>
      </c>
      <c r="O8" s="64">
        <v>1.8</v>
      </c>
      <c r="P8" s="7">
        <v>2.2000000000000002</v>
      </c>
      <c r="Q8" s="64">
        <v>1.302</v>
      </c>
      <c r="R8" s="7">
        <f t="shared" si="5"/>
        <v>1317853.2</v>
      </c>
      <c r="S8" s="7">
        <f t="shared" si="6"/>
        <v>5946021.9000000004</v>
      </c>
      <c r="T8" s="69">
        <f t="shared" si="7"/>
        <v>0.82</v>
      </c>
      <c r="U8" s="7">
        <v>27093</v>
      </c>
      <c r="V8" s="7">
        <f t="shared" si="8"/>
        <v>59604.6</v>
      </c>
      <c r="W8" s="7">
        <f t="shared" si="9"/>
        <v>18000.599999999999</v>
      </c>
      <c r="X8" s="7">
        <f t="shared" si="10"/>
        <v>931262.3</v>
      </c>
      <c r="Y8" s="7">
        <f t="shared" si="11"/>
        <v>763635.1</v>
      </c>
      <c r="Z8" s="7">
        <f t="shared" si="12"/>
        <v>1341931.3999999999</v>
      </c>
      <c r="AA8" s="7">
        <f t="shared" si="13"/>
        <v>279569</v>
      </c>
      <c r="AB8" s="71">
        <f t="shared" si="14"/>
        <v>8331157.4000000004</v>
      </c>
      <c r="AC8" s="71">
        <f t="shared" si="15"/>
        <v>4901744.0999999996</v>
      </c>
      <c r="AD8" s="71">
        <f t="shared" si="16"/>
        <v>3429413.3</v>
      </c>
      <c r="AE8" s="78">
        <f t="shared" si="17"/>
        <v>8859100</v>
      </c>
      <c r="AF8" s="79">
        <v>6379000</v>
      </c>
      <c r="AG8" s="79">
        <v>2480100</v>
      </c>
      <c r="AH8" s="72">
        <f t="shared" si="18"/>
        <v>-527942.6</v>
      </c>
    </row>
    <row r="9" spans="1:34" hidden="1" x14ac:dyDescent="0.25">
      <c r="A9" s="59">
        <v>104</v>
      </c>
      <c r="B9" s="73" t="s">
        <v>53</v>
      </c>
      <c r="C9" s="333">
        <v>3690.33</v>
      </c>
      <c r="D9" s="79">
        <v>11512</v>
      </c>
      <c r="E9" s="72">
        <f t="shared" si="0"/>
        <v>15202.33</v>
      </c>
      <c r="F9" s="63">
        <v>1.1399999999999999</v>
      </c>
      <c r="G9" s="76">
        <f t="shared" si="1"/>
        <v>17330.66</v>
      </c>
      <c r="H9" s="77">
        <v>1980</v>
      </c>
      <c r="I9" s="331">
        <v>1</v>
      </c>
      <c r="J9" s="63">
        <v>1.1000000000000001</v>
      </c>
      <c r="K9" s="332">
        <f t="shared" si="2"/>
        <v>9.6280999999999999</v>
      </c>
      <c r="L9" s="332">
        <v>6</v>
      </c>
      <c r="M9" s="332">
        <f t="shared" si="3"/>
        <v>3.6280999999999999</v>
      </c>
      <c r="N9" s="66">
        <f t="shared" si="4"/>
        <v>21300</v>
      </c>
      <c r="O9" s="64">
        <v>1.8</v>
      </c>
      <c r="P9" s="7">
        <v>2.2000000000000002</v>
      </c>
      <c r="Q9" s="64">
        <v>1.302</v>
      </c>
      <c r="R9" s="7">
        <f t="shared" si="5"/>
        <v>1317853.2</v>
      </c>
      <c r="S9" s="7">
        <f t="shared" si="6"/>
        <v>12688422.4</v>
      </c>
      <c r="T9" s="69">
        <f t="shared" si="7"/>
        <v>1.7509999999999999</v>
      </c>
      <c r="U9" s="7">
        <v>27093</v>
      </c>
      <c r="V9" s="7">
        <f t="shared" si="8"/>
        <v>59604.6</v>
      </c>
      <c r="W9" s="7">
        <f t="shared" si="9"/>
        <v>18000.599999999999</v>
      </c>
      <c r="X9" s="7">
        <f t="shared" si="10"/>
        <v>931262.3</v>
      </c>
      <c r="Y9" s="7">
        <f t="shared" si="11"/>
        <v>1630640.3</v>
      </c>
      <c r="Z9" s="7">
        <f t="shared" si="12"/>
        <v>2863812.5</v>
      </c>
      <c r="AA9" s="7">
        <f t="shared" si="13"/>
        <v>596627.6</v>
      </c>
      <c r="AB9" s="71">
        <f t="shared" si="14"/>
        <v>17779502.800000001</v>
      </c>
      <c r="AC9" s="71">
        <f t="shared" si="15"/>
        <v>10460800.199999999</v>
      </c>
      <c r="AD9" s="71">
        <f t="shared" si="16"/>
        <v>7318702.5999999996</v>
      </c>
      <c r="AE9" s="78">
        <f t="shared" si="17"/>
        <v>13307000</v>
      </c>
      <c r="AF9" s="79">
        <v>9581800</v>
      </c>
      <c r="AG9" s="79">
        <v>3725200</v>
      </c>
      <c r="AH9" s="72">
        <f t="shared" si="18"/>
        <v>4472502.8</v>
      </c>
    </row>
    <row r="10" spans="1:34" hidden="1" x14ac:dyDescent="0.25">
      <c r="A10" s="59">
        <v>105</v>
      </c>
      <c r="B10" s="73" t="s">
        <v>54</v>
      </c>
      <c r="C10" s="333">
        <v>8958.33</v>
      </c>
      <c r="D10" s="79">
        <v>37111</v>
      </c>
      <c r="E10" s="72">
        <f t="shared" si="0"/>
        <v>46069.33</v>
      </c>
      <c r="F10" s="63">
        <v>1.1399999999999999</v>
      </c>
      <c r="G10" s="76">
        <f t="shared" si="1"/>
        <v>52519.040000000001</v>
      </c>
      <c r="H10" s="77">
        <v>1980</v>
      </c>
      <c r="I10" s="331">
        <v>1</v>
      </c>
      <c r="J10" s="63">
        <v>1.1000000000000001</v>
      </c>
      <c r="K10" s="332">
        <f t="shared" si="2"/>
        <v>29.177199999999999</v>
      </c>
      <c r="L10" s="332">
        <v>15</v>
      </c>
      <c r="M10" s="332">
        <f t="shared" si="3"/>
        <v>14.177199999999999</v>
      </c>
      <c r="N10" s="66">
        <f t="shared" si="4"/>
        <v>21300</v>
      </c>
      <c r="O10" s="64">
        <v>1.8</v>
      </c>
      <c r="P10" s="7">
        <v>2.2000000000000002</v>
      </c>
      <c r="Q10" s="64">
        <v>1.302</v>
      </c>
      <c r="R10" s="7">
        <f t="shared" si="5"/>
        <v>1317853.2</v>
      </c>
      <c r="S10" s="7">
        <f t="shared" si="6"/>
        <v>38451266.399999999</v>
      </c>
      <c r="T10" s="69">
        <f t="shared" si="7"/>
        <v>5.3049999999999997</v>
      </c>
      <c r="U10" s="7">
        <v>27093</v>
      </c>
      <c r="V10" s="7">
        <f t="shared" si="8"/>
        <v>59604.6</v>
      </c>
      <c r="W10" s="7">
        <f t="shared" si="9"/>
        <v>18000.599999999999</v>
      </c>
      <c r="X10" s="7">
        <f t="shared" si="10"/>
        <v>931262.3</v>
      </c>
      <c r="Y10" s="7">
        <f t="shared" si="11"/>
        <v>4940346.5</v>
      </c>
      <c r="Z10" s="7">
        <f t="shared" si="12"/>
        <v>8678322.5999999996</v>
      </c>
      <c r="AA10" s="7">
        <f t="shared" si="13"/>
        <v>1807983.9</v>
      </c>
      <c r="AB10" s="71">
        <f t="shared" si="14"/>
        <v>53877919.399999999</v>
      </c>
      <c r="AC10" s="71">
        <f t="shared" si="15"/>
        <v>31699770.100000001</v>
      </c>
      <c r="AD10" s="71">
        <f t="shared" si="16"/>
        <v>22178149.300000001</v>
      </c>
      <c r="AE10" s="78">
        <f t="shared" si="17"/>
        <v>35254300</v>
      </c>
      <c r="AF10" s="79">
        <v>25385100</v>
      </c>
      <c r="AG10" s="79">
        <v>9869200</v>
      </c>
      <c r="AH10" s="72">
        <f t="shared" si="18"/>
        <v>18623619.399999999</v>
      </c>
    </row>
    <row r="11" spans="1:34" hidden="1" x14ac:dyDescent="0.25">
      <c r="A11" s="59">
        <v>106</v>
      </c>
      <c r="B11" s="73" t="s">
        <v>55</v>
      </c>
      <c r="C11" s="333">
        <v>1993</v>
      </c>
      <c r="D11" s="79">
        <v>8455.67</v>
      </c>
      <c r="E11" s="72">
        <f t="shared" si="0"/>
        <v>10448.67</v>
      </c>
      <c r="F11" s="63">
        <v>1.1399999999999999</v>
      </c>
      <c r="G11" s="76">
        <f t="shared" si="1"/>
        <v>11911.48</v>
      </c>
      <c r="H11" s="77">
        <v>1980</v>
      </c>
      <c r="I11" s="331">
        <v>1</v>
      </c>
      <c r="J11" s="63">
        <v>1.1000000000000001</v>
      </c>
      <c r="K11" s="332">
        <f t="shared" si="2"/>
        <v>6.6174999999999997</v>
      </c>
      <c r="L11" s="332">
        <v>4</v>
      </c>
      <c r="M11" s="332">
        <f t="shared" si="3"/>
        <v>2.6175000000000002</v>
      </c>
      <c r="N11" s="66">
        <f t="shared" si="4"/>
        <v>21300</v>
      </c>
      <c r="O11" s="64">
        <v>1.8</v>
      </c>
      <c r="P11" s="7">
        <v>2.2000000000000002</v>
      </c>
      <c r="Q11" s="64">
        <v>1.302</v>
      </c>
      <c r="R11" s="7">
        <f t="shared" si="5"/>
        <v>1317853.2</v>
      </c>
      <c r="S11" s="7">
        <f t="shared" si="6"/>
        <v>8720893.5999999996</v>
      </c>
      <c r="T11" s="69">
        <f t="shared" si="7"/>
        <v>1.2030000000000001</v>
      </c>
      <c r="U11" s="7">
        <v>27093</v>
      </c>
      <c r="V11" s="7">
        <f t="shared" si="8"/>
        <v>59604.6</v>
      </c>
      <c r="W11" s="7">
        <f>V11*0.302</f>
        <v>18000.599999999999</v>
      </c>
      <c r="X11" s="7">
        <f t="shared" si="10"/>
        <v>931262.3</v>
      </c>
      <c r="Y11" s="7">
        <f t="shared" si="11"/>
        <v>1120308.5</v>
      </c>
      <c r="Z11" s="7">
        <f t="shared" si="12"/>
        <v>1968240.4</v>
      </c>
      <c r="AA11" s="7">
        <f t="shared" si="13"/>
        <v>410050.1</v>
      </c>
      <c r="AB11" s="71">
        <f t="shared" si="14"/>
        <v>12219492.6</v>
      </c>
      <c r="AC11" s="71">
        <f t="shared" si="15"/>
        <v>7189496.4000000004</v>
      </c>
      <c r="AD11" s="71">
        <f t="shared" si="16"/>
        <v>5029996.2</v>
      </c>
      <c r="AE11" s="78">
        <f t="shared" si="17"/>
        <v>8859100</v>
      </c>
      <c r="AF11" s="79">
        <v>6379000</v>
      </c>
      <c r="AG11" s="79">
        <v>2480100</v>
      </c>
      <c r="AH11" s="72">
        <f t="shared" si="18"/>
        <v>3360392.6</v>
      </c>
    </row>
    <row r="12" spans="1:34" hidden="1" x14ac:dyDescent="0.25">
      <c r="A12" s="59">
        <v>107</v>
      </c>
      <c r="B12" s="73" t="s">
        <v>56</v>
      </c>
      <c r="C12" s="333">
        <v>469.67</v>
      </c>
      <c r="D12" s="79">
        <v>2879</v>
      </c>
      <c r="E12" s="72">
        <f t="shared" si="0"/>
        <v>3348.67</v>
      </c>
      <c r="F12" s="63">
        <v>1.1399999999999999</v>
      </c>
      <c r="G12" s="76">
        <f t="shared" si="1"/>
        <v>3817.48</v>
      </c>
      <c r="H12" s="77">
        <v>1980</v>
      </c>
      <c r="I12" s="331">
        <v>1</v>
      </c>
      <c r="J12" s="63">
        <v>1.1000000000000001</v>
      </c>
      <c r="K12" s="332">
        <f t="shared" si="2"/>
        <v>2.1208</v>
      </c>
      <c r="L12" s="332">
        <v>2</v>
      </c>
      <c r="M12" s="332">
        <f t="shared" si="3"/>
        <v>0.1208</v>
      </c>
      <c r="N12" s="66">
        <f t="shared" si="4"/>
        <v>21300</v>
      </c>
      <c r="O12" s="64">
        <v>1.8</v>
      </c>
      <c r="P12" s="7">
        <v>2.2000000000000002</v>
      </c>
      <c r="Q12" s="64">
        <v>1.302</v>
      </c>
      <c r="R12" s="7">
        <f t="shared" si="5"/>
        <v>1317853.2</v>
      </c>
      <c r="S12" s="7">
        <f t="shared" si="6"/>
        <v>2794903.1</v>
      </c>
      <c r="T12" s="69">
        <f t="shared" si="7"/>
        <v>0.38600000000000001</v>
      </c>
      <c r="U12" s="7">
        <v>27093</v>
      </c>
      <c r="V12" s="7">
        <f t="shared" si="8"/>
        <v>59604.6</v>
      </c>
      <c r="W12" s="7">
        <f t="shared" si="9"/>
        <v>18000.599999999999</v>
      </c>
      <c r="X12" s="7">
        <f t="shared" si="10"/>
        <v>931262.3</v>
      </c>
      <c r="Y12" s="7">
        <f t="shared" si="11"/>
        <v>359467.2</v>
      </c>
      <c r="Z12" s="7">
        <f t="shared" si="12"/>
        <v>630874.1</v>
      </c>
      <c r="AA12" s="7">
        <f t="shared" si="13"/>
        <v>131432.1</v>
      </c>
      <c r="AB12" s="71">
        <f t="shared" si="14"/>
        <v>3916676.5</v>
      </c>
      <c r="AC12" s="71">
        <f t="shared" si="15"/>
        <v>2304427.2000000002</v>
      </c>
      <c r="AD12" s="71">
        <f t="shared" si="16"/>
        <v>1612249.3</v>
      </c>
      <c r="AE12" s="78">
        <f t="shared" si="17"/>
        <v>5050500</v>
      </c>
      <c r="AF12" s="79">
        <v>3636600</v>
      </c>
      <c r="AG12" s="79">
        <v>1413900</v>
      </c>
      <c r="AH12" s="72">
        <f t="shared" si="18"/>
        <v>-1133823.5</v>
      </c>
    </row>
    <row r="13" spans="1:34" hidden="1" x14ac:dyDescent="0.25">
      <c r="A13" s="59">
        <v>108</v>
      </c>
      <c r="B13" s="73" t="s">
        <v>57</v>
      </c>
      <c r="C13" s="333">
        <v>1353.67</v>
      </c>
      <c r="D13" s="79">
        <v>6487.67</v>
      </c>
      <c r="E13" s="72">
        <f t="shared" si="0"/>
        <v>7841.34</v>
      </c>
      <c r="F13" s="63">
        <v>1.1399999999999999</v>
      </c>
      <c r="G13" s="76">
        <f t="shared" si="1"/>
        <v>8939.1299999999992</v>
      </c>
      <c r="H13" s="77">
        <v>1980</v>
      </c>
      <c r="I13" s="331">
        <v>1</v>
      </c>
      <c r="J13" s="63">
        <v>1.1000000000000001</v>
      </c>
      <c r="K13" s="332">
        <f t="shared" si="2"/>
        <v>4.9661999999999997</v>
      </c>
      <c r="L13" s="332">
        <v>3</v>
      </c>
      <c r="M13" s="332">
        <f t="shared" si="3"/>
        <v>1.9661999999999999</v>
      </c>
      <c r="N13" s="66">
        <f t="shared" si="4"/>
        <v>21300</v>
      </c>
      <c r="O13" s="64">
        <v>1.8</v>
      </c>
      <c r="P13" s="7">
        <v>2.2000000000000002</v>
      </c>
      <c r="Q13" s="64">
        <v>1.302</v>
      </c>
      <c r="R13" s="7">
        <f t="shared" si="5"/>
        <v>1317853.2</v>
      </c>
      <c r="S13" s="7">
        <f t="shared" si="6"/>
        <v>6544722.5999999996</v>
      </c>
      <c r="T13" s="69">
        <f t="shared" si="7"/>
        <v>0.90300000000000002</v>
      </c>
      <c r="U13" s="7">
        <v>27093</v>
      </c>
      <c r="V13" s="7">
        <f t="shared" si="8"/>
        <v>59604.6</v>
      </c>
      <c r="W13" s="7">
        <f t="shared" si="9"/>
        <v>18000.599999999999</v>
      </c>
      <c r="X13" s="7">
        <f t="shared" si="10"/>
        <v>931262.3</v>
      </c>
      <c r="Y13" s="7">
        <f t="shared" si="11"/>
        <v>840929.9</v>
      </c>
      <c r="Z13" s="7">
        <f t="shared" si="12"/>
        <v>1477130.5</v>
      </c>
      <c r="AA13" s="7">
        <f t="shared" si="13"/>
        <v>307735.5</v>
      </c>
      <c r="AB13" s="71">
        <f t="shared" si="14"/>
        <v>9170518.5</v>
      </c>
      <c r="AC13" s="71">
        <f t="shared" si="15"/>
        <v>5395593.0999999996</v>
      </c>
      <c r="AD13" s="71">
        <f t="shared" si="16"/>
        <v>3774925.4</v>
      </c>
      <c r="AE13" s="78">
        <f t="shared" si="17"/>
        <v>6829800</v>
      </c>
      <c r="AF13" s="79">
        <v>4917800</v>
      </c>
      <c r="AG13" s="79">
        <v>1912000</v>
      </c>
      <c r="AH13" s="72">
        <f t="shared" si="18"/>
        <v>2340718.5</v>
      </c>
    </row>
    <row r="14" spans="1:34" hidden="1" x14ac:dyDescent="0.25">
      <c r="A14" s="59">
        <v>109</v>
      </c>
      <c r="B14" s="73" t="s">
        <v>58</v>
      </c>
      <c r="C14" s="333">
        <v>1129.33</v>
      </c>
      <c r="D14" s="79">
        <v>5054.67</v>
      </c>
      <c r="E14" s="72">
        <f t="shared" si="0"/>
        <v>6184</v>
      </c>
      <c r="F14" s="63">
        <v>1.1399999999999999</v>
      </c>
      <c r="G14" s="76">
        <f t="shared" si="1"/>
        <v>7049.76</v>
      </c>
      <c r="H14" s="77">
        <v>1980</v>
      </c>
      <c r="I14" s="331">
        <v>1</v>
      </c>
      <c r="J14" s="63">
        <v>1.1000000000000001</v>
      </c>
      <c r="K14" s="332">
        <f t="shared" si="2"/>
        <v>3.9165000000000001</v>
      </c>
      <c r="L14" s="332">
        <v>3</v>
      </c>
      <c r="M14" s="332">
        <f t="shared" si="3"/>
        <v>0.91649999999999998</v>
      </c>
      <c r="N14" s="66">
        <f t="shared" si="4"/>
        <v>21300</v>
      </c>
      <c r="O14" s="64">
        <v>1.8</v>
      </c>
      <c r="P14" s="7">
        <v>2.2000000000000002</v>
      </c>
      <c r="Q14" s="64">
        <v>1.302</v>
      </c>
      <c r="R14" s="7">
        <f t="shared" si="5"/>
        <v>1317853.2</v>
      </c>
      <c r="S14" s="7">
        <f t="shared" si="6"/>
        <v>5161372.0999999996</v>
      </c>
      <c r="T14" s="69">
        <f t="shared" si="7"/>
        <v>0.71199999999999997</v>
      </c>
      <c r="U14" s="7">
        <v>27093</v>
      </c>
      <c r="V14" s="7">
        <f t="shared" si="8"/>
        <v>59604.6</v>
      </c>
      <c r="W14" s="7">
        <f t="shared" si="9"/>
        <v>18000.599999999999</v>
      </c>
      <c r="X14" s="7">
        <f t="shared" si="10"/>
        <v>931262.3</v>
      </c>
      <c r="Y14" s="7">
        <f t="shared" si="11"/>
        <v>663058.80000000005</v>
      </c>
      <c r="Z14" s="7">
        <f t="shared" si="12"/>
        <v>1164886.2</v>
      </c>
      <c r="AA14" s="7">
        <f t="shared" si="13"/>
        <v>242684.6</v>
      </c>
      <c r="AB14" s="71">
        <f t="shared" si="14"/>
        <v>7232001.7000000002</v>
      </c>
      <c r="AC14" s="71">
        <f t="shared" si="15"/>
        <v>4255041.5999999996</v>
      </c>
      <c r="AD14" s="71">
        <f t="shared" si="16"/>
        <v>2976960.1</v>
      </c>
      <c r="AE14" s="78">
        <f t="shared" si="17"/>
        <v>6829800</v>
      </c>
      <c r="AF14" s="79">
        <v>4917800</v>
      </c>
      <c r="AG14" s="79">
        <v>1912000</v>
      </c>
      <c r="AH14" s="72">
        <f t="shared" si="18"/>
        <v>402201.7</v>
      </c>
    </row>
    <row r="15" spans="1:34" hidden="1" x14ac:dyDescent="0.25">
      <c r="A15" s="59">
        <v>110</v>
      </c>
      <c r="B15" s="73" t="s">
        <v>59</v>
      </c>
      <c r="C15" s="333">
        <v>15046.67</v>
      </c>
      <c r="D15" s="79">
        <v>50663.67</v>
      </c>
      <c r="E15" s="72">
        <f t="shared" si="0"/>
        <v>65710.34</v>
      </c>
      <c r="F15" s="63">
        <v>1.1399999999999999</v>
      </c>
      <c r="G15" s="76">
        <f t="shared" si="1"/>
        <v>74909.789999999994</v>
      </c>
      <c r="H15" s="77">
        <v>1980</v>
      </c>
      <c r="I15" s="331">
        <v>1</v>
      </c>
      <c r="J15" s="63">
        <v>1.1000000000000001</v>
      </c>
      <c r="K15" s="332">
        <f t="shared" si="2"/>
        <v>41.616599999999998</v>
      </c>
      <c r="L15" s="332">
        <v>18</v>
      </c>
      <c r="M15" s="332">
        <f t="shared" si="3"/>
        <v>23.616599999999998</v>
      </c>
      <c r="N15" s="66">
        <f t="shared" si="4"/>
        <v>21300</v>
      </c>
      <c r="O15" s="64">
        <v>1.8</v>
      </c>
      <c r="P15" s="7">
        <v>2.2000000000000002</v>
      </c>
      <c r="Q15" s="64">
        <v>1.302</v>
      </c>
      <c r="R15" s="7">
        <f t="shared" si="5"/>
        <v>1317853.2</v>
      </c>
      <c r="S15" s="7">
        <f t="shared" si="6"/>
        <v>54844569.5</v>
      </c>
      <c r="T15" s="69">
        <f t="shared" si="7"/>
        <v>7.5670000000000002</v>
      </c>
      <c r="U15" s="7">
        <v>27093</v>
      </c>
      <c r="V15" s="7">
        <f t="shared" si="8"/>
        <v>59604.6</v>
      </c>
      <c r="W15" s="7">
        <f t="shared" si="9"/>
        <v>18000.599999999999</v>
      </c>
      <c r="X15" s="7">
        <f t="shared" si="10"/>
        <v>931262.3</v>
      </c>
      <c r="Y15" s="7">
        <f t="shared" si="11"/>
        <v>7046861.7999999998</v>
      </c>
      <c r="Z15" s="7">
        <f t="shared" si="12"/>
        <v>12378286.300000001</v>
      </c>
      <c r="AA15" s="7">
        <f t="shared" si="13"/>
        <v>2578809.6</v>
      </c>
      <c r="AB15" s="71">
        <f t="shared" si="14"/>
        <v>76848527.200000003</v>
      </c>
      <c r="AC15" s="71">
        <f t="shared" si="15"/>
        <v>45214824</v>
      </c>
      <c r="AD15" s="71">
        <f t="shared" si="16"/>
        <v>31633703.199999999</v>
      </c>
      <c r="AE15" s="78">
        <f t="shared" si="17"/>
        <v>42239900</v>
      </c>
      <c r="AF15" s="79">
        <v>30415100</v>
      </c>
      <c r="AG15" s="79">
        <v>11824800</v>
      </c>
      <c r="AH15" s="72">
        <f t="shared" si="18"/>
        <v>34608627.200000003</v>
      </c>
    </row>
    <row r="16" spans="1:34" hidden="1" x14ac:dyDescent="0.25">
      <c r="A16" s="59">
        <v>111</v>
      </c>
      <c r="B16" s="73" t="s">
        <v>60</v>
      </c>
      <c r="C16" s="333">
        <v>1355</v>
      </c>
      <c r="D16" s="79">
        <v>10473</v>
      </c>
      <c r="E16" s="72">
        <f t="shared" si="0"/>
        <v>11828</v>
      </c>
      <c r="F16" s="63">
        <v>1.1399999999999999</v>
      </c>
      <c r="G16" s="76">
        <f t="shared" si="1"/>
        <v>13483.92</v>
      </c>
      <c r="H16" s="77">
        <v>1980</v>
      </c>
      <c r="I16" s="331">
        <v>1</v>
      </c>
      <c r="J16" s="63">
        <v>1.1000000000000001</v>
      </c>
      <c r="K16" s="332">
        <f t="shared" si="2"/>
        <v>7.4911000000000003</v>
      </c>
      <c r="L16" s="332">
        <v>4</v>
      </c>
      <c r="M16" s="332">
        <f t="shared" si="3"/>
        <v>3.4910999999999999</v>
      </c>
      <c r="N16" s="66">
        <f t="shared" si="4"/>
        <v>21300</v>
      </c>
      <c r="O16" s="64">
        <v>1.8</v>
      </c>
      <c r="P16" s="7">
        <v>2.2000000000000002</v>
      </c>
      <c r="Q16" s="64">
        <v>1.302</v>
      </c>
      <c r="R16" s="7">
        <f t="shared" si="5"/>
        <v>1317853.2</v>
      </c>
      <c r="S16" s="7">
        <f t="shared" si="6"/>
        <v>9872170.0999999996</v>
      </c>
      <c r="T16" s="69">
        <f t="shared" si="7"/>
        <v>1.3620000000000001</v>
      </c>
      <c r="U16" s="7">
        <v>27093</v>
      </c>
      <c r="V16" s="7">
        <f t="shared" si="8"/>
        <v>59604.6</v>
      </c>
      <c r="W16" s="7">
        <f t="shared" si="9"/>
        <v>18000.599999999999</v>
      </c>
      <c r="X16" s="7">
        <f t="shared" si="10"/>
        <v>931262.3</v>
      </c>
      <c r="Y16" s="7">
        <f t="shared" si="11"/>
        <v>1268379.3</v>
      </c>
      <c r="Z16" s="7">
        <f t="shared" si="12"/>
        <v>2228109.9</v>
      </c>
      <c r="AA16" s="7">
        <f t="shared" si="13"/>
        <v>464189.6</v>
      </c>
      <c r="AB16" s="71">
        <f t="shared" si="14"/>
        <v>13832848.9</v>
      </c>
      <c r="AC16" s="71">
        <f t="shared" si="15"/>
        <v>8138735.4000000004</v>
      </c>
      <c r="AD16" s="71">
        <f t="shared" si="16"/>
        <v>5694113.5</v>
      </c>
      <c r="AE16" s="78">
        <f t="shared" si="17"/>
        <v>6829800</v>
      </c>
      <c r="AF16" s="79">
        <v>4917800</v>
      </c>
      <c r="AG16" s="79">
        <v>1912000</v>
      </c>
      <c r="AH16" s="72">
        <f t="shared" si="18"/>
        <v>7003048.9000000004</v>
      </c>
    </row>
    <row r="17" spans="1:34" hidden="1" x14ac:dyDescent="0.25">
      <c r="A17" s="59">
        <v>112</v>
      </c>
      <c r="B17" s="73" t="s">
        <v>61</v>
      </c>
      <c r="C17" s="333">
        <v>3534.33</v>
      </c>
      <c r="D17" s="79">
        <v>16712.669999999998</v>
      </c>
      <c r="E17" s="72">
        <f t="shared" si="0"/>
        <v>20247</v>
      </c>
      <c r="F17" s="63">
        <v>1.1399999999999999</v>
      </c>
      <c r="G17" s="76">
        <f t="shared" si="1"/>
        <v>23081.58</v>
      </c>
      <c r="H17" s="77">
        <v>1980</v>
      </c>
      <c r="I17" s="331">
        <v>1</v>
      </c>
      <c r="J17" s="63">
        <v>1.1000000000000001</v>
      </c>
      <c r="K17" s="332">
        <f t="shared" si="2"/>
        <v>12.8231</v>
      </c>
      <c r="L17" s="332">
        <v>5</v>
      </c>
      <c r="M17" s="332">
        <f t="shared" si="3"/>
        <v>7.8231000000000002</v>
      </c>
      <c r="N17" s="66">
        <f t="shared" si="4"/>
        <v>21300</v>
      </c>
      <c r="O17" s="64">
        <v>1.8</v>
      </c>
      <c r="P17" s="7">
        <v>2.2000000000000002</v>
      </c>
      <c r="Q17" s="64">
        <v>1.302</v>
      </c>
      <c r="R17" s="7">
        <f t="shared" si="5"/>
        <v>1317853.2</v>
      </c>
      <c r="S17" s="7">
        <f t="shared" si="6"/>
        <v>16898963.399999999</v>
      </c>
      <c r="T17" s="69">
        <f t="shared" si="7"/>
        <v>2.331</v>
      </c>
      <c r="U17" s="7">
        <v>27093</v>
      </c>
      <c r="V17" s="7">
        <f t="shared" si="8"/>
        <v>59604.6</v>
      </c>
      <c r="W17" s="7">
        <f t="shared" si="9"/>
        <v>18000.599999999999</v>
      </c>
      <c r="X17" s="7">
        <f t="shared" si="10"/>
        <v>931262.3</v>
      </c>
      <c r="Y17" s="7">
        <f t="shared" si="11"/>
        <v>2170772.4</v>
      </c>
      <c r="Z17" s="7">
        <f t="shared" si="12"/>
        <v>3813947.2</v>
      </c>
      <c r="AA17" s="7">
        <f t="shared" si="13"/>
        <v>794572.3</v>
      </c>
      <c r="AB17" s="71">
        <f t="shared" si="14"/>
        <v>23678255.300000001</v>
      </c>
      <c r="AC17" s="71">
        <f t="shared" si="15"/>
        <v>13931407.5</v>
      </c>
      <c r="AD17" s="71">
        <f t="shared" si="16"/>
        <v>9746847.8000000007</v>
      </c>
      <c r="AE17" s="78">
        <f t="shared" si="17"/>
        <v>13307000</v>
      </c>
      <c r="AF17" s="79">
        <v>9581800</v>
      </c>
      <c r="AG17" s="79">
        <v>3725200</v>
      </c>
      <c r="AH17" s="72">
        <f t="shared" si="18"/>
        <v>10371255.300000001</v>
      </c>
    </row>
    <row r="18" spans="1:34" hidden="1" x14ac:dyDescent="0.25">
      <c r="A18" s="59">
        <v>113</v>
      </c>
      <c r="B18" s="73" t="s">
        <v>62</v>
      </c>
      <c r="C18" s="333">
        <v>1264</v>
      </c>
      <c r="D18" s="79">
        <v>5309.67</v>
      </c>
      <c r="E18" s="72">
        <f t="shared" si="0"/>
        <v>6573.67</v>
      </c>
      <c r="F18" s="63">
        <v>1.1399999999999999</v>
      </c>
      <c r="G18" s="76">
        <f t="shared" si="1"/>
        <v>7493.98</v>
      </c>
      <c r="H18" s="77">
        <v>1980</v>
      </c>
      <c r="I18" s="331">
        <v>1</v>
      </c>
      <c r="J18" s="63">
        <v>1.1000000000000001</v>
      </c>
      <c r="K18" s="332">
        <f t="shared" si="2"/>
        <v>4.1632999999999996</v>
      </c>
      <c r="L18" s="332">
        <v>3</v>
      </c>
      <c r="M18" s="332">
        <f t="shared" si="3"/>
        <v>1.1633</v>
      </c>
      <c r="N18" s="66">
        <f t="shared" si="4"/>
        <v>21300</v>
      </c>
      <c r="O18" s="64">
        <v>1.8</v>
      </c>
      <c r="P18" s="7">
        <v>2.2000000000000002</v>
      </c>
      <c r="Q18" s="64">
        <v>1.302</v>
      </c>
      <c r="R18" s="7">
        <f t="shared" si="5"/>
        <v>1317853.2</v>
      </c>
      <c r="S18" s="7">
        <f t="shared" si="6"/>
        <v>5486618.2000000002</v>
      </c>
      <c r="T18" s="69">
        <f t="shared" si="7"/>
        <v>0.75700000000000001</v>
      </c>
      <c r="U18" s="7">
        <v>27093</v>
      </c>
      <c r="V18" s="7">
        <f t="shared" si="8"/>
        <v>59604.6</v>
      </c>
      <c r="W18" s="7">
        <f t="shared" si="9"/>
        <v>18000.599999999999</v>
      </c>
      <c r="X18" s="7">
        <f t="shared" si="10"/>
        <v>931262.3</v>
      </c>
      <c r="Y18" s="7">
        <f t="shared" si="11"/>
        <v>704965.6</v>
      </c>
      <c r="Z18" s="7">
        <f t="shared" si="12"/>
        <v>1238316.8</v>
      </c>
      <c r="AA18" s="7">
        <f t="shared" si="13"/>
        <v>257982.7</v>
      </c>
      <c r="AB18" s="71">
        <f t="shared" si="14"/>
        <v>7687883.2999999998</v>
      </c>
      <c r="AC18" s="71">
        <f t="shared" si="15"/>
        <v>4523265.5</v>
      </c>
      <c r="AD18" s="71">
        <f t="shared" si="16"/>
        <v>3164617.8</v>
      </c>
      <c r="AE18" s="78">
        <f t="shared" si="17"/>
        <v>6829800</v>
      </c>
      <c r="AF18" s="79">
        <v>4917800</v>
      </c>
      <c r="AG18" s="79">
        <v>1912000</v>
      </c>
      <c r="AH18" s="72">
        <f t="shared" si="18"/>
        <v>858083.3</v>
      </c>
    </row>
    <row r="19" spans="1:34" s="347" customFormat="1" hidden="1" x14ac:dyDescent="0.25">
      <c r="A19" s="334">
        <v>114</v>
      </c>
      <c r="B19" s="335" t="s">
        <v>63</v>
      </c>
      <c r="C19" s="336">
        <v>723.33</v>
      </c>
      <c r="D19" s="337">
        <v>2537.67</v>
      </c>
      <c r="E19" s="338">
        <f t="shared" si="0"/>
        <v>3261</v>
      </c>
      <c r="F19" s="63">
        <v>1.1399999999999999</v>
      </c>
      <c r="G19" s="339">
        <f t="shared" si="1"/>
        <v>3717.54</v>
      </c>
      <c r="H19" s="340">
        <v>1980</v>
      </c>
      <c r="I19" s="341">
        <v>1.0289999999999999</v>
      </c>
      <c r="J19" s="342">
        <v>1.1000000000000001</v>
      </c>
      <c r="K19" s="343">
        <f t="shared" si="2"/>
        <v>2.1252</v>
      </c>
      <c r="L19" s="343">
        <v>3</v>
      </c>
      <c r="M19" s="332">
        <f t="shared" si="3"/>
        <v>-0.87480000000000002</v>
      </c>
      <c r="N19" s="66">
        <f t="shared" si="4"/>
        <v>21300</v>
      </c>
      <c r="O19" s="344">
        <v>1.8</v>
      </c>
      <c r="P19" s="345">
        <v>2.5</v>
      </c>
      <c r="Q19" s="344">
        <v>1.302</v>
      </c>
      <c r="R19" s="345">
        <f t="shared" si="5"/>
        <v>1497560.4</v>
      </c>
      <c r="S19" s="345">
        <f t="shared" si="6"/>
        <v>3182615.4</v>
      </c>
      <c r="T19" s="346">
        <f t="shared" si="7"/>
        <v>0.38600000000000001</v>
      </c>
      <c r="U19" s="7">
        <v>27093</v>
      </c>
      <c r="V19" s="7">
        <f t="shared" si="8"/>
        <v>67732.5</v>
      </c>
      <c r="W19" s="345">
        <f t="shared" si="9"/>
        <v>20455.2</v>
      </c>
      <c r="X19" s="7">
        <f t="shared" si="10"/>
        <v>1058252.6000000001</v>
      </c>
      <c r="Y19" s="7">
        <f t="shared" si="11"/>
        <v>408485.5</v>
      </c>
      <c r="Z19" s="7">
        <f t="shared" si="12"/>
        <v>718220.2</v>
      </c>
      <c r="AA19" s="7">
        <f t="shared" si="13"/>
        <v>149629.20000000001</v>
      </c>
      <c r="AB19" s="71">
        <f t="shared" si="14"/>
        <v>4458950.3</v>
      </c>
      <c r="AC19" s="71">
        <f t="shared" si="15"/>
        <v>2623481</v>
      </c>
      <c r="AD19" s="71">
        <f t="shared" si="16"/>
        <v>1835469.3</v>
      </c>
      <c r="AE19" s="78">
        <f t="shared" si="17"/>
        <v>7761066.5</v>
      </c>
      <c r="AF19" s="337">
        <v>5588409.1600000001</v>
      </c>
      <c r="AG19" s="337">
        <v>2172657.37</v>
      </c>
      <c r="AH19" s="72">
        <f t="shared" si="18"/>
        <v>-3302116.2</v>
      </c>
    </row>
    <row r="20" spans="1:34" hidden="1" x14ac:dyDescent="0.25">
      <c r="A20" s="59">
        <v>114</v>
      </c>
      <c r="B20" s="73" t="s">
        <v>64</v>
      </c>
      <c r="C20" s="333"/>
      <c r="D20" s="79"/>
      <c r="E20" s="72">
        <f t="shared" si="0"/>
        <v>0</v>
      </c>
      <c r="F20" s="63">
        <v>1.1399999999999999</v>
      </c>
      <c r="G20" s="76">
        <f t="shared" si="1"/>
        <v>0</v>
      </c>
      <c r="H20" s="77">
        <v>1980</v>
      </c>
      <c r="I20" s="331">
        <v>1</v>
      </c>
      <c r="J20" s="63">
        <v>1.1000000000000001</v>
      </c>
      <c r="K20" s="332">
        <f t="shared" si="2"/>
        <v>0</v>
      </c>
      <c r="L20" s="332">
        <v>1</v>
      </c>
      <c r="M20" s="332"/>
      <c r="N20" s="66">
        <f t="shared" si="4"/>
        <v>21300</v>
      </c>
      <c r="O20" s="64">
        <v>1.8</v>
      </c>
      <c r="P20" s="7">
        <v>2.5</v>
      </c>
      <c r="Q20" s="64">
        <v>1.302</v>
      </c>
      <c r="R20" s="7">
        <f t="shared" si="5"/>
        <v>1497560.4</v>
      </c>
      <c r="S20" s="7">
        <f t="shared" si="6"/>
        <v>0</v>
      </c>
      <c r="T20" s="69">
        <f t="shared" si="7"/>
        <v>0</v>
      </c>
      <c r="U20" s="7">
        <v>27093</v>
      </c>
      <c r="V20" s="7">
        <f t="shared" si="8"/>
        <v>67732.5</v>
      </c>
      <c r="W20" s="7">
        <f t="shared" si="9"/>
        <v>20455.2</v>
      </c>
      <c r="X20" s="7">
        <f t="shared" si="10"/>
        <v>1058252.6000000001</v>
      </c>
      <c r="Y20" s="7">
        <f t="shared" si="11"/>
        <v>0</v>
      </c>
      <c r="Z20" s="7">
        <f t="shared" si="12"/>
        <v>0</v>
      </c>
      <c r="AA20" s="7">
        <f t="shared" si="13"/>
        <v>0</v>
      </c>
      <c r="AB20" s="71">
        <f t="shared" si="14"/>
        <v>0</v>
      </c>
      <c r="AC20" s="71">
        <f t="shared" si="15"/>
        <v>0</v>
      </c>
      <c r="AD20" s="71">
        <f t="shared" si="16"/>
        <v>0</v>
      </c>
      <c r="AE20" s="78">
        <f t="shared" si="17"/>
        <v>17939.900000000001</v>
      </c>
      <c r="AF20" s="79">
        <v>13046.93</v>
      </c>
      <c r="AG20" s="79">
        <v>4892.9799999999996</v>
      </c>
      <c r="AH20" s="72">
        <f t="shared" si="18"/>
        <v>-17939.900000000001</v>
      </c>
    </row>
    <row r="21" spans="1:34" hidden="1" x14ac:dyDescent="0.25">
      <c r="A21" s="59">
        <v>114</v>
      </c>
      <c r="B21" s="73" t="s">
        <v>65</v>
      </c>
      <c r="C21" s="333"/>
      <c r="D21" s="79"/>
      <c r="E21" s="72">
        <f t="shared" si="0"/>
        <v>0</v>
      </c>
      <c r="F21" s="63">
        <v>1.1399999999999999</v>
      </c>
      <c r="G21" s="76">
        <f t="shared" si="1"/>
        <v>0</v>
      </c>
      <c r="H21" s="77">
        <v>1980</v>
      </c>
      <c r="I21" s="331">
        <v>1</v>
      </c>
      <c r="J21" s="63">
        <v>1.1000000000000001</v>
      </c>
      <c r="K21" s="332">
        <f t="shared" si="2"/>
        <v>0</v>
      </c>
      <c r="L21" s="332">
        <v>1</v>
      </c>
      <c r="M21" s="332"/>
      <c r="N21" s="66">
        <f t="shared" si="4"/>
        <v>21300</v>
      </c>
      <c r="O21" s="64">
        <v>1.8</v>
      </c>
      <c r="P21" s="7">
        <v>2.5</v>
      </c>
      <c r="Q21" s="64">
        <v>1.302</v>
      </c>
      <c r="R21" s="7">
        <f t="shared" si="5"/>
        <v>1497560.4</v>
      </c>
      <c r="S21" s="7">
        <f t="shared" si="6"/>
        <v>0</v>
      </c>
      <c r="T21" s="69">
        <f t="shared" si="7"/>
        <v>0</v>
      </c>
      <c r="U21" s="7">
        <v>27093</v>
      </c>
      <c r="V21" s="7">
        <f t="shared" si="8"/>
        <v>67732.5</v>
      </c>
      <c r="W21" s="7">
        <f t="shared" si="9"/>
        <v>20455.2</v>
      </c>
      <c r="X21" s="7">
        <f t="shared" si="10"/>
        <v>1058252.6000000001</v>
      </c>
      <c r="Y21" s="7">
        <f t="shared" si="11"/>
        <v>0</v>
      </c>
      <c r="Z21" s="7">
        <f t="shared" si="12"/>
        <v>0</v>
      </c>
      <c r="AA21" s="7">
        <f t="shared" si="13"/>
        <v>0</v>
      </c>
      <c r="AB21" s="71">
        <f t="shared" si="14"/>
        <v>0</v>
      </c>
      <c r="AC21" s="71">
        <f t="shared" si="15"/>
        <v>0</v>
      </c>
      <c r="AD21" s="71">
        <f t="shared" si="16"/>
        <v>0</v>
      </c>
      <c r="AE21" s="78">
        <f t="shared" si="17"/>
        <v>0</v>
      </c>
      <c r="AF21" s="79">
        <v>0</v>
      </c>
      <c r="AG21" s="79">
        <v>0</v>
      </c>
      <c r="AH21" s="72">
        <f t="shared" si="18"/>
        <v>0</v>
      </c>
    </row>
    <row r="22" spans="1:34" hidden="1" x14ac:dyDescent="0.25">
      <c r="A22" s="59">
        <v>114</v>
      </c>
      <c r="B22" s="73" t="s">
        <v>66</v>
      </c>
      <c r="C22" s="333">
        <v>10.67</v>
      </c>
      <c r="D22" s="79"/>
      <c r="E22" s="72">
        <f t="shared" si="0"/>
        <v>10.67</v>
      </c>
      <c r="F22" s="63">
        <v>1.1399999999999999</v>
      </c>
      <c r="G22" s="76">
        <f t="shared" si="1"/>
        <v>12.16</v>
      </c>
      <c r="H22" s="77">
        <v>1980</v>
      </c>
      <c r="I22" s="331">
        <v>1</v>
      </c>
      <c r="J22" s="63">
        <v>1.1000000000000001</v>
      </c>
      <c r="K22" s="332">
        <f t="shared" si="2"/>
        <v>6.7999999999999996E-3</v>
      </c>
      <c r="L22" s="332">
        <v>1</v>
      </c>
      <c r="M22" s="332"/>
      <c r="N22" s="66">
        <f t="shared" si="4"/>
        <v>21300</v>
      </c>
      <c r="O22" s="64">
        <v>1.8</v>
      </c>
      <c r="P22" s="7">
        <v>2.5</v>
      </c>
      <c r="Q22" s="64">
        <v>1.302</v>
      </c>
      <c r="R22" s="7">
        <f t="shared" si="5"/>
        <v>1497560.4</v>
      </c>
      <c r="S22" s="7">
        <f t="shared" si="6"/>
        <v>10183.4</v>
      </c>
      <c r="T22" s="69">
        <f t="shared" si="7"/>
        <v>1E-3</v>
      </c>
      <c r="U22" s="7">
        <v>27093</v>
      </c>
      <c r="V22" s="7">
        <f t="shared" si="8"/>
        <v>67732.5</v>
      </c>
      <c r="W22" s="7">
        <f t="shared" si="9"/>
        <v>20455.2</v>
      </c>
      <c r="X22" s="7">
        <f t="shared" si="10"/>
        <v>1058252.6000000001</v>
      </c>
      <c r="Y22" s="7">
        <f t="shared" si="11"/>
        <v>1058.3</v>
      </c>
      <c r="Z22" s="7">
        <f t="shared" si="12"/>
        <v>2248.3000000000002</v>
      </c>
      <c r="AA22" s="7">
        <f t="shared" si="13"/>
        <v>468.4</v>
      </c>
      <c r="AB22" s="71">
        <f t="shared" si="14"/>
        <v>13958.4</v>
      </c>
      <c r="AC22" s="71">
        <f t="shared" si="15"/>
        <v>8212.6</v>
      </c>
      <c r="AD22" s="71">
        <f t="shared" si="16"/>
        <v>5745.8</v>
      </c>
      <c r="AE22" s="78">
        <f t="shared" si="17"/>
        <v>21926.6</v>
      </c>
      <c r="AF22" s="79">
        <v>15946.25</v>
      </c>
      <c r="AG22" s="79">
        <v>5980.3</v>
      </c>
      <c r="AH22" s="72">
        <f t="shared" si="18"/>
        <v>-7968.2</v>
      </c>
    </row>
    <row r="23" spans="1:34" hidden="1" x14ac:dyDescent="0.25">
      <c r="A23" s="59">
        <v>114</v>
      </c>
      <c r="B23" s="73" t="s">
        <v>67</v>
      </c>
      <c r="C23" s="333">
        <v>21</v>
      </c>
      <c r="D23" s="79"/>
      <c r="E23" s="72">
        <f t="shared" si="0"/>
        <v>21</v>
      </c>
      <c r="F23" s="63">
        <v>1.1399999999999999</v>
      </c>
      <c r="G23" s="76">
        <f t="shared" si="1"/>
        <v>23.94</v>
      </c>
      <c r="H23" s="77">
        <v>1980</v>
      </c>
      <c r="I23" s="331">
        <v>1.3240000000000001</v>
      </c>
      <c r="J23" s="63">
        <v>1.1000000000000001</v>
      </c>
      <c r="K23" s="332">
        <f t="shared" si="2"/>
        <v>1.7600000000000001E-2</v>
      </c>
      <c r="L23" s="332">
        <v>1</v>
      </c>
      <c r="M23" s="332"/>
      <c r="N23" s="66">
        <f t="shared" si="4"/>
        <v>21300</v>
      </c>
      <c r="O23" s="64">
        <v>1.8</v>
      </c>
      <c r="P23" s="7">
        <v>2.5</v>
      </c>
      <c r="Q23" s="64">
        <v>1.302</v>
      </c>
      <c r="R23" s="7">
        <f t="shared" si="5"/>
        <v>1497560.4</v>
      </c>
      <c r="S23" s="7">
        <f t="shared" si="6"/>
        <v>26357.1</v>
      </c>
      <c r="T23" s="69">
        <f t="shared" si="7"/>
        <v>3.0000000000000001E-3</v>
      </c>
      <c r="U23" s="7">
        <v>27093</v>
      </c>
      <c r="V23" s="7">
        <f>U23*P23</f>
        <v>67732.5</v>
      </c>
      <c r="W23" s="7">
        <f t="shared" si="9"/>
        <v>20455.2</v>
      </c>
      <c r="X23" s="7">
        <f t="shared" si="10"/>
        <v>1058252.6000000001</v>
      </c>
      <c r="Y23" s="7">
        <f t="shared" si="11"/>
        <v>3174.8</v>
      </c>
      <c r="Z23" s="7">
        <f t="shared" si="12"/>
        <v>5906.4</v>
      </c>
      <c r="AA23" s="7">
        <f t="shared" si="13"/>
        <v>1230.5</v>
      </c>
      <c r="AB23" s="71">
        <f t="shared" si="14"/>
        <v>36668.800000000003</v>
      </c>
      <c r="AC23" s="71">
        <f t="shared" si="15"/>
        <v>21574.6</v>
      </c>
      <c r="AD23" s="71">
        <f t="shared" si="16"/>
        <v>15094.2</v>
      </c>
      <c r="AE23" s="78">
        <f t="shared" si="17"/>
        <v>43853.1</v>
      </c>
      <c r="AF23" s="79">
        <v>31892.49</v>
      </c>
      <c r="AG23" s="79">
        <v>11960.61</v>
      </c>
      <c r="AH23" s="72">
        <f t="shared" si="18"/>
        <v>-7184.3</v>
      </c>
    </row>
    <row r="24" spans="1:34" hidden="1" x14ac:dyDescent="0.25">
      <c r="A24" s="59">
        <v>114</v>
      </c>
      <c r="B24" s="73" t="s">
        <v>68</v>
      </c>
      <c r="C24" s="333">
        <v>14.33</v>
      </c>
      <c r="D24" s="79"/>
      <c r="E24" s="72">
        <f t="shared" si="0"/>
        <v>14.33</v>
      </c>
      <c r="F24" s="63">
        <v>1.1399999999999999</v>
      </c>
      <c r="G24" s="76">
        <f t="shared" si="1"/>
        <v>16.34</v>
      </c>
      <c r="H24" s="77">
        <v>1980</v>
      </c>
      <c r="I24" s="331">
        <v>1</v>
      </c>
      <c r="J24" s="63">
        <v>1.1000000000000001</v>
      </c>
      <c r="K24" s="332">
        <f t="shared" si="2"/>
        <v>9.1000000000000004E-3</v>
      </c>
      <c r="L24" s="332">
        <v>1</v>
      </c>
      <c r="M24" s="332"/>
      <c r="N24" s="66">
        <f t="shared" si="4"/>
        <v>21300</v>
      </c>
      <c r="O24" s="64">
        <v>1.8</v>
      </c>
      <c r="P24" s="7">
        <v>2.5</v>
      </c>
      <c r="Q24" s="64">
        <v>1.302</v>
      </c>
      <c r="R24" s="7">
        <f t="shared" si="5"/>
        <v>1497560.4</v>
      </c>
      <c r="S24" s="7">
        <f t="shared" si="6"/>
        <v>13627.8</v>
      </c>
      <c r="T24" s="69">
        <f t="shared" si="7"/>
        <v>2E-3</v>
      </c>
      <c r="U24" s="7">
        <v>27093</v>
      </c>
      <c r="V24" s="7">
        <f t="shared" si="8"/>
        <v>67732.5</v>
      </c>
      <c r="W24" s="7">
        <f t="shared" si="9"/>
        <v>20455.2</v>
      </c>
      <c r="X24" s="7">
        <f t="shared" si="10"/>
        <v>1058252.6000000001</v>
      </c>
      <c r="Y24" s="7">
        <f t="shared" si="11"/>
        <v>2116.5</v>
      </c>
      <c r="Z24" s="7">
        <f t="shared" si="12"/>
        <v>3148.9</v>
      </c>
      <c r="AA24" s="7">
        <f t="shared" si="13"/>
        <v>656</v>
      </c>
      <c r="AB24" s="71">
        <f t="shared" si="14"/>
        <v>19549.2</v>
      </c>
      <c r="AC24" s="71">
        <f t="shared" si="15"/>
        <v>11502</v>
      </c>
      <c r="AD24" s="71">
        <f t="shared" si="16"/>
        <v>8047.2</v>
      </c>
      <c r="AE24" s="78">
        <f t="shared" si="17"/>
        <v>29899.8</v>
      </c>
      <c r="AF24" s="79">
        <v>21744.880000000001</v>
      </c>
      <c r="AG24" s="79">
        <v>8154.96</v>
      </c>
      <c r="AH24" s="72">
        <f t="shared" si="18"/>
        <v>-10350.6</v>
      </c>
    </row>
    <row r="25" spans="1:34" hidden="1" x14ac:dyDescent="0.25">
      <c r="A25" s="59">
        <v>114</v>
      </c>
      <c r="B25" s="73" t="s">
        <v>69</v>
      </c>
      <c r="C25" s="333">
        <v>9.33</v>
      </c>
      <c r="D25" s="79"/>
      <c r="E25" s="72">
        <f t="shared" si="0"/>
        <v>9.33</v>
      </c>
      <c r="F25" s="63">
        <v>1.1399999999999999</v>
      </c>
      <c r="G25" s="76">
        <f t="shared" si="1"/>
        <v>10.64</v>
      </c>
      <c r="H25" s="77">
        <v>1980</v>
      </c>
      <c r="I25" s="331">
        <v>1</v>
      </c>
      <c r="J25" s="63">
        <v>1.1000000000000001</v>
      </c>
      <c r="K25" s="332">
        <f t="shared" si="2"/>
        <v>5.8999999999999999E-3</v>
      </c>
      <c r="L25" s="332">
        <v>1</v>
      </c>
      <c r="M25" s="332"/>
      <c r="N25" s="66">
        <f t="shared" si="4"/>
        <v>21300</v>
      </c>
      <c r="O25" s="64">
        <v>1.8</v>
      </c>
      <c r="P25" s="7">
        <v>2.5</v>
      </c>
      <c r="Q25" s="64">
        <v>1.302</v>
      </c>
      <c r="R25" s="7">
        <f t="shared" si="5"/>
        <v>1497560.4</v>
      </c>
      <c r="S25" s="7">
        <f t="shared" si="6"/>
        <v>8835.6</v>
      </c>
      <c r="T25" s="69">
        <f t="shared" si="7"/>
        <v>1E-3</v>
      </c>
      <c r="U25" s="7">
        <v>27093</v>
      </c>
      <c r="V25" s="7">
        <f t="shared" si="8"/>
        <v>67732.5</v>
      </c>
      <c r="W25" s="7">
        <f t="shared" si="9"/>
        <v>20455.2</v>
      </c>
      <c r="X25" s="7">
        <f t="shared" si="10"/>
        <v>1058252.6000000001</v>
      </c>
      <c r="Y25" s="7">
        <f t="shared" si="11"/>
        <v>1058.3</v>
      </c>
      <c r="Z25" s="7">
        <f t="shared" si="12"/>
        <v>1978.8</v>
      </c>
      <c r="AA25" s="7">
        <f t="shared" si="13"/>
        <v>412.2</v>
      </c>
      <c r="AB25" s="71">
        <f t="shared" si="14"/>
        <v>12284.9</v>
      </c>
      <c r="AC25" s="71">
        <f t="shared" si="15"/>
        <v>7228</v>
      </c>
      <c r="AD25" s="71">
        <f t="shared" si="16"/>
        <v>5056.8999999999996</v>
      </c>
      <c r="AE25" s="78">
        <f t="shared" si="17"/>
        <v>13953.3</v>
      </c>
      <c r="AF25" s="79">
        <v>10147.61</v>
      </c>
      <c r="AG25" s="79">
        <v>3805.65</v>
      </c>
      <c r="AH25" s="72">
        <f t="shared" si="18"/>
        <v>-1668.4</v>
      </c>
    </row>
    <row r="26" spans="1:34" s="347" customFormat="1" hidden="1" x14ac:dyDescent="0.25">
      <c r="A26" s="334">
        <v>115</v>
      </c>
      <c r="B26" s="335" t="s">
        <v>70</v>
      </c>
      <c r="C26" s="336">
        <v>285.67</v>
      </c>
      <c r="D26" s="337">
        <v>5075</v>
      </c>
      <c r="E26" s="338">
        <f t="shared" si="0"/>
        <v>5360.67</v>
      </c>
      <c r="F26" s="63">
        <v>1.1399999999999999</v>
      </c>
      <c r="G26" s="339">
        <f t="shared" si="1"/>
        <v>6111.16</v>
      </c>
      <c r="H26" s="340">
        <v>1980</v>
      </c>
      <c r="I26" s="341">
        <v>1.0840000000000001</v>
      </c>
      <c r="J26" s="342">
        <v>1.1000000000000001</v>
      </c>
      <c r="K26" s="343">
        <f t="shared" si="2"/>
        <v>3.6802999999999999</v>
      </c>
      <c r="L26" s="343">
        <v>2</v>
      </c>
      <c r="M26" s="343">
        <f>K26-L26</f>
        <v>1.6802999999999999</v>
      </c>
      <c r="N26" s="66">
        <f t="shared" si="4"/>
        <v>21300</v>
      </c>
      <c r="O26" s="344">
        <v>1.8</v>
      </c>
      <c r="P26" s="345">
        <v>2.5</v>
      </c>
      <c r="Q26" s="344">
        <v>1.302</v>
      </c>
      <c r="R26" s="345">
        <f t="shared" si="5"/>
        <v>1497560.4</v>
      </c>
      <c r="S26" s="345">
        <f t="shared" si="6"/>
        <v>5511471.5</v>
      </c>
      <c r="T26" s="346">
        <f t="shared" si="7"/>
        <v>0.66900000000000004</v>
      </c>
      <c r="U26" s="7">
        <v>27093</v>
      </c>
      <c r="V26" s="7">
        <f t="shared" si="8"/>
        <v>67732.5</v>
      </c>
      <c r="W26" s="345">
        <f t="shared" si="9"/>
        <v>20455.2</v>
      </c>
      <c r="X26" s="7">
        <f t="shared" si="10"/>
        <v>1058252.6000000001</v>
      </c>
      <c r="Y26" s="7">
        <f t="shared" si="11"/>
        <v>707971</v>
      </c>
      <c r="Z26" s="7">
        <f t="shared" si="12"/>
        <v>1243888.5</v>
      </c>
      <c r="AA26" s="7">
        <f t="shared" si="13"/>
        <v>259143.4</v>
      </c>
      <c r="AB26" s="71">
        <f>S26+Y26+Z26+AA26</f>
        <v>7722474.4000000004</v>
      </c>
      <c r="AC26" s="71">
        <f t="shared" si="15"/>
        <v>4543617.5999999996</v>
      </c>
      <c r="AD26" s="71">
        <f t="shared" si="16"/>
        <v>3178856.8</v>
      </c>
      <c r="AE26" s="78">
        <f t="shared" si="17"/>
        <v>6514500</v>
      </c>
      <c r="AF26" s="337">
        <v>4696400</v>
      </c>
      <c r="AG26" s="337">
        <v>1818100</v>
      </c>
      <c r="AH26" s="72">
        <f t="shared" si="18"/>
        <v>1207974.3999999999</v>
      </c>
    </row>
    <row r="27" spans="1:34" hidden="1" x14ac:dyDescent="0.25">
      <c r="A27" s="59">
        <v>115</v>
      </c>
      <c r="B27" s="73" t="s">
        <v>71</v>
      </c>
      <c r="C27" s="333">
        <v>188.33</v>
      </c>
      <c r="D27" s="79"/>
      <c r="E27" s="72">
        <f t="shared" si="0"/>
        <v>188.33</v>
      </c>
      <c r="F27" s="63">
        <v>1.1399999999999999</v>
      </c>
      <c r="G27" s="76">
        <f t="shared" si="1"/>
        <v>214.7</v>
      </c>
      <c r="H27" s="77">
        <v>1980</v>
      </c>
      <c r="I27" s="331">
        <v>1.0640000000000001</v>
      </c>
      <c r="J27" s="63">
        <v>1.1000000000000001</v>
      </c>
      <c r="K27" s="332">
        <f t="shared" si="2"/>
        <v>0.12690000000000001</v>
      </c>
      <c r="L27" s="332">
        <v>1</v>
      </c>
      <c r="M27" s="332"/>
      <c r="N27" s="66">
        <f t="shared" si="4"/>
        <v>21300</v>
      </c>
      <c r="O27" s="64">
        <v>1.8</v>
      </c>
      <c r="P27" s="7">
        <v>2.5</v>
      </c>
      <c r="Q27" s="64">
        <v>1.302</v>
      </c>
      <c r="R27" s="7">
        <f t="shared" si="5"/>
        <v>1497560.4</v>
      </c>
      <c r="S27" s="7">
        <f t="shared" si="6"/>
        <v>190040.4</v>
      </c>
      <c r="T27" s="69">
        <f t="shared" si="7"/>
        <v>2.3E-2</v>
      </c>
      <c r="U27" s="7">
        <v>27093</v>
      </c>
      <c r="V27" s="7">
        <f t="shared" si="8"/>
        <v>67732.5</v>
      </c>
      <c r="W27" s="7">
        <f t="shared" si="9"/>
        <v>20455.2</v>
      </c>
      <c r="X27" s="7">
        <f t="shared" si="10"/>
        <v>1058252.6000000001</v>
      </c>
      <c r="Y27" s="7">
        <f t="shared" si="11"/>
        <v>24339.8</v>
      </c>
      <c r="Z27" s="7">
        <f t="shared" si="12"/>
        <v>42876</v>
      </c>
      <c r="AA27" s="7">
        <f t="shared" si="13"/>
        <v>8932.5</v>
      </c>
      <c r="AB27" s="71">
        <f t="shared" si="14"/>
        <v>266188.7</v>
      </c>
      <c r="AC27" s="71">
        <f t="shared" si="15"/>
        <v>156615.6</v>
      </c>
      <c r="AD27" s="71">
        <f t="shared" si="16"/>
        <v>109573.1</v>
      </c>
      <c r="AE27" s="78">
        <f t="shared" si="17"/>
        <v>438528.2</v>
      </c>
      <c r="AF27" s="79">
        <v>318922.84999999998</v>
      </c>
      <c r="AG27" s="79">
        <v>119605.3</v>
      </c>
      <c r="AH27" s="72">
        <f t="shared" si="18"/>
        <v>-172339.5</v>
      </c>
    </row>
    <row r="28" spans="1:34" hidden="1" x14ac:dyDescent="0.25">
      <c r="A28" s="59">
        <v>115</v>
      </c>
      <c r="B28" s="73" t="s">
        <v>72</v>
      </c>
      <c r="C28" s="333">
        <v>19</v>
      </c>
      <c r="D28" s="79"/>
      <c r="E28" s="72">
        <f t="shared" si="0"/>
        <v>19</v>
      </c>
      <c r="F28" s="63">
        <v>1.1399999999999999</v>
      </c>
      <c r="G28" s="76">
        <f t="shared" si="1"/>
        <v>21.66</v>
      </c>
      <c r="H28" s="77">
        <v>1980</v>
      </c>
      <c r="I28" s="331">
        <v>1</v>
      </c>
      <c r="J28" s="63">
        <v>1.1000000000000001</v>
      </c>
      <c r="K28" s="332">
        <f t="shared" si="2"/>
        <v>1.2E-2</v>
      </c>
      <c r="L28" s="332">
        <v>1</v>
      </c>
      <c r="M28" s="332"/>
      <c r="N28" s="66">
        <f t="shared" si="4"/>
        <v>21300</v>
      </c>
      <c r="O28" s="64">
        <v>1.8</v>
      </c>
      <c r="P28" s="7">
        <v>2.5</v>
      </c>
      <c r="Q28" s="64">
        <v>1.302</v>
      </c>
      <c r="R28" s="7">
        <f t="shared" si="5"/>
        <v>1497560.4</v>
      </c>
      <c r="S28" s="7">
        <f t="shared" si="6"/>
        <v>17970.7</v>
      </c>
      <c r="T28" s="69">
        <f t="shared" si="7"/>
        <v>2E-3</v>
      </c>
      <c r="U28" s="7">
        <v>27093</v>
      </c>
      <c r="V28" s="7">
        <f t="shared" si="8"/>
        <v>67732.5</v>
      </c>
      <c r="W28" s="7">
        <f t="shared" si="9"/>
        <v>20455.2</v>
      </c>
      <c r="X28" s="7">
        <f t="shared" si="10"/>
        <v>1058252.6000000001</v>
      </c>
      <c r="Y28" s="7">
        <f t="shared" si="11"/>
        <v>2116.5</v>
      </c>
      <c r="Z28" s="7">
        <f t="shared" si="12"/>
        <v>4017.4</v>
      </c>
      <c r="AA28" s="7">
        <f t="shared" si="13"/>
        <v>837</v>
      </c>
      <c r="AB28" s="71">
        <f t="shared" si="14"/>
        <v>24941.599999999999</v>
      </c>
      <c r="AC28" s="71">
        <f t="shared" si="15"/>
        <v>14674.7</v>
      </c>
      <c r="AD28" s="71">
        <f t="shared" si="16"/>
        <v>10266.9</v>
      </c>
      <c r="AE28" s="78">
        <f t="shared" si="17"/>
        <v>35879.599999999999</v>
      </c>
      <c r="AF28" s="79">
        <v>26093.69</v>
      </c>
      <c r="AG28" s="79">
        <v>9785.89</v>
      </c>
      <c r="AH28" s="72">
        <f t="shared" si="18"/>
        <v>-10938</v>
      </c>
    </row>
    <row r="29" spans="1:34" hidden="1" x14ac:dyDescent="0.25">
      <c r="A29" s="59">
        <v>115</v>
      </c>
      <c r="B29" s="73" t="s">
        <v>73</v>
      </c>
      <c r="C29" s="333">
        <v>88</v>
      </c>
      <c r="D29" s="79"/>
      <c r="E29" s="72">
        <f t="shared" si="0"/>
        <v>88</v>
      </c>
      <c r="F29" s="63">
        <v>1.1399999999999999</v>
      </c>
      <c r="G29" s="76">
        <f t="shared" si="1"/>
        <v>100.32</v>
      </c>
      <c r="H29" s="77">
        <v>1980</v>
      </c>
      <c r="I29" s="331">
        <v>1.1120000000000001</v>
      </c>
      <c r="J29" s="63">
        <v>1.1000000000000001</v>
      </c>
      <c r="K29" s="332">
        <f t="shared" si="2"/>
        <v>6.2E-2</v>
      </c>
      <c r="L29" s="332">
        <v>1</v>
      </c>
      <c r="M29" s="332"/>
      <c r="N29" s="66">
        <f t="shared" si="4"/>
        <v>21300</v>
      </c>
      <c r="O29" s="64">
        <v>1.8</v>
      </c>
      <c r="P29" s="7">
        <v>2.5</v>
      </c>
      <c r="Q29" s="64">
        <v>1.302</v>
      </c>
      <c r="R29" s="7">
        <f t="shared" si="5"/>
        <v>1497560.4</v>
      </c>
      <c r="S29" s="7">
        <f t="shared" si="6"/>
        <v>92848.7</v>
      </c>
      <c r="T29" s="69">
        <f t="shared" si="7"/>
        <v>1.0999999999999999E-2</v>
      </c>
      <c r="U29" s="7">
        <v>27093</v>
      </c>
      <c r="V29" s="7">
        <f t="shared" si="8"/>
        <v>67732.5</v>
      </c>
      <c r="W29" s="7">
        <f t="shared" si="9"/>
        <v>20455.2</v>
      </c>
      <c r="X29" s="7">
        <f t="shared" si="10"/>
        <v>1058252.6000000001</v>
      </c>
      <c r="Y29" s="7">
        <f t="shared" si="11"/>
        <v>11640.8</v>
      </c>
      <c r="Z29" s="7">
        <f t="shared" si="12"/>
        <v>20897.900000000001</v>
      </c>
      <c r="AA29" s="7">
        <f t="shared" si="13"/>
        <v>4353.7</v>
      </c>
      <c r="AB29" s="71">
        <f t="shared" si="14"/>
        <v>129741.1</v>
      </c>
      <c r="AC29" s="71">
        <f t="shared" si="15"/>
        <v>76334.899999999994</v>
      </c>
      <c r="AD29" s="71">
        <f t="shared" si="16"/>
        <v>53406.2</v>
      </c>
      <c r="AE29" s="78">
        <f t="shared" si="17"/>
        <v>169431.3</v>
      </c>
      <c r="AF29" s="79">
        <v>123220.19</v>
      </c>
      <c r="AG29" s="79">
        <v>46211.14</v>
      </c>
      <c r="AH29" s="72">
        <f t="shared" si="18"/>
        <v>-39690.199999999997</v>
      </c>
    </row>
    <row r="30" spans="1:34" hidden="1" x14ac:dyDescent="0.25">
      <c r="A30" s="59">
        <v>115</v>
      </c>
      <c r="B30" s="73" t="s">
        <v>74</v>
      </c>
      <c r="C30" s="333">
        <v>28.33</v>
      </c>
      <c r="D30" s="79"/>
      <c r="E30" s="72">
        <f t="shared" si="0"/>
        <v>28.33</v>
      </c>
      <c r="F30" s="63">
        <v>1.1399999999999999</v>
      </c>
      <c r="G30" s="76">
        <f t="shared" si="1"/>
        <v>32.299999999999997</v>
      </c>
      <c r="H30" s="77">
        <v>1980</v>
      </c>
      <c r="I30" s="331">
        <v>1</v>
      </c>
      <c r="J30" s="63">
        <v>1.1000000000000001</v>
      </c>
      <c r="K30" s="332">
        <f t="shared" si="2"/>
        <v>1.7899999999999999E-2</v>
      </c>
      <c r="L30" s="332">
        <v>1</v>
      </c>
      <c r="M30" s="332"/>
      <c r="N30" s="66">
        <f t="shared" si="4"/>
        <v>21300</v>
      </c>
      <c r="O30" s="64">
        <v>1.8</v>
      </c>
      <c r="P30" s="7">
        <v>2.5</v>
      </c>
      <c r="Q30" s="64">
        <v>1.302</v>
      </c>
      <c r="R30" s="7">
        <f t="shared" si="5"/>
        <v>1497560.4</v>
      </c>
      <c r="S30" s="7">
        <f t="shared" si="6"/>
        <v>26806.3</v>
      </c>
      <c r="T30" s="69">
        <f t="shared" si="7"/>
        <v>3.0000000000000001E-3</v>
      </c>
      <c r="U30" s="7">
        <v>27093</v>
      </c>
      <c r="V30" s="7">
        <f t="shared" si="8"/>
        <v>67732.5</v>
      </c>
      <c r="W30" s="7">
        <f t="shared" si="9"/>
        <v>20455.2</v>
      </c>
      <c r="X30" s="7">
        <f t="shared" si="10"/>
        <v>1058252.6000000001</v>
      </c>
      <c r="Y30" s="7">
        <f t="shared" si="11"/>
        <v>3174.8</v>
      </c>
      <c r="Z30" s="7">
        <f t="shared" si="12"/>
        <v>5996.2</v>
      </c>
      <c r="AA30" s="7">
        <f t="shared" si="13"/>
        <v>1249.2</v>
      </c>
      <c r="AB30" s="71">
        <f t="shared" si="14"/>
        <v>37226.5</v>
      </c>
      <c r="AC30" s="71">
        <f t="shared" si="15"/>
        <v>21902.7</v>
      </c>
      <c r="AD30" s="71">
        <f t="shared" si="16"/>
        <v>15323.8</v>
      </c>
      <c r="AE30" s="78">
        <f t="shared" si="17"/>
        <v>57806</v>
      </c>
      <c r="AF30" s="79">
        <v>42039.83</v>
      </c>
      <c r="AG30" s="79">
        <v>15766.15</v>
      </c>
      <c r="AH30" s="72">
        <f t="shared" si="18"/>
        <v>-20579.5</v>
      </c>
    </row>
    <row r="31" spans="1:34" hidden="1" x14ac:dyDescent="0.25">
      <c r="A31" s="59">
        <v>115</v>
      </c>
      <c r="B31" s="73" t="s">
        <v>75</v>
      </c>
      <c r="C31" s="333">
        <v>29.33</v>
      </c>
      <c r="D31" s="79"/>
      <c r="E31" s="72">
        <f t="shared" si="0"/>
        <v>29.33</v>
      </c>
      <c r="F31" s="63">
        <v>1.1399999999999999</v>
      </c>
      <c r="G31" s="76">
        <f t="shared" si="1"/>
        <v>33.44</v>
      </c>
      <c r="H31" s="77">
        <v>1980</v>
      </c>
      <c r="I31" s="331">
        <v>1.302</v>
      </c>
      <c r="J31" s="63">
        <v>1.1000000000000001</v>
      </c>
      <c r="K31" s="332">
        <f t="shared" si="2"/>
        <v>2.4199999999999999E-2</v>
      </c>
      <c r="L31" s="332">
        <v>1</v>
      </c>
      <c r="M31" s="332"/>
      <c r="N31" s="66">
        <f t="shared" si="4"/>
        <v>21300</v>
      </c>
      <c r="O31" s="64">
        <v>1.8</v>
      </c>
      <c r="P31" s="7">
        <v>2.5</v>
      </c>
      <c r="Q31" s="64">
        <v>1.302</v>
      </c>
      <c r="R31" s="7">
        <f t="shared" si="5"/>
        <v>1497560.4</v>
      </c>
      <c r="S31" s="7">
        <f t="shared" si="6"/>
        <v>36241</v>
      </c>
      <c r="T31" s="69">
        <f t="shared" si="7"/>
        <v>4.0000000000000001E-3</v>
      </c>
      <c r="U31" s="7">
        <v>27093</v>
      </c>
      <c r="V31" s="7">
        <f t="shared" si="8"/>
        <v>67732.5</v>
      </c>
      <c r="W31" s="7">
        <f t="shared" si="9"/>
        <v>20455.2</v>
      </c>
      <c r="X31" s="7">
        <f t="shared" si="10"/>
        <v>1058252.6000000001</v>
      </c>
      <c r="Y31" s="7">
        <f t="shared" si="11"/>
        <v>4233</v>
      </c>
      <c r="Z31" s="7">
        <f t="shared" si="12"/>
        <v>8094.8</v>
      </c>
      <c r="AA31" s="7">
        <f t="shared" si="13"/>
        <v>1686.4</v>
      </c>
      <c r="AB31" s="71">
        <f t="shared" si="14"/>
        <v>50255.199999999997</v>
      </c>
      <c r="AC31" s="71">
        <f t="shared" si="15"/>
        <v>29568.3</v>
      </c>
      <c r="AD31" s="71">
        <f t="shared" si="16"/>
        <v>20686.900000000001</v>
      </c>
      <c r="AE31" s="78">
        <f t="shared" si="17"/>
        <v>73752.5</v>
      </c>
      <c r="AF31" s="79">
        <v>53637.02</v>
      </c>
      <c r="AG31" s="79">
        <v>20115.439999999999</v>
      </c>
      <c r="AH31" s="72">
        <f t="shared" si="18"/>
        <v>-23497.3</v>
      </c>
    </row>
    <row r="32" spans="1:34" s="347" customFormat="1" hidden="1" x14ac:dyDescent="0.25">
      <c r="A32" s="334">
        <v>116</v>
      </c>
      <c r="B32" s="335" t="s">
        <v>76</v>
      </c>
      <c r="C32" s="336">
        <v>531.66999999999996</v>
      </c>
      <c r="D32" s="337">
        <v>4543</v>
      </c>
      <c r="E32" s="338">
        <f t="shared" si="0"/>
        <v>5074.67</v>
      </c>
      <c r="F32" s="63">
        <v>1.1399999999999999</v>
      </c>
      <c r="G32" s="339">
        <f t="shared" si="1"/>
        <v>5785.12</v>
      </c>
      <c r="H32" s="340">
        <v>1980</v>
      </c>
      <c r="I32" s="341">
        <v>1.0920000000000001</v>
      </c>
      <c r="J32" s="342">
        <v>1.1000000000000001</v>
      </c>
      <c r="K32" s="343">
        <f t="shared" si="2"/>
        <v>3.5095999999999998</v>
      </c>
      <c r="L32" s="343">
        <v>3</v>
      </c>
      <c r="M32" s="343">
        <f>K32-L32</f>
        <v>0.50960000000000005</v>
      </c>
      <c r="N32" s="66">
        <f t="shared" si="4"/>
        <v>21300</v>
      </c>
      <c r="O32" s="344">
        <v>1.8</v>
      </c>
      <c r="P32" s="345">
        <v>2.2000000000000002</v>
      </c>
      <c r="Q32" s="344">
        <v>1.302</v>
      </c>
      <c r="R32" s="345">
        <f t="shared" si="5"/>
        <v>1317853.2</v>
      </c>
      <c r="S32" s="345">
        <f t="shared" si="6"/>
        <v>4625137.5999999996</v>
      </c>
      <c r="T32" s="346">
        <f t="shared" si="7"/>
        <v>0.63800000000000001</v>
      </c>
      <c r="U32" s="7">
        <v>27093</v>
      </c>
      <c r="V32" s="7">
        <f t="shared" si="8"/>
        <v>59604.6</v>
      </c>
      <c r="W32" s="345">
        <f t="shared" si="9"/>
        <v>18000.599999999999</v>
      </c>
      <c r="X32" s="7">
        <f t="shared" si="10"/>
        <v>931262.3</v>
      </c>
      <c r="Y32" s="7">
        <f t="shared" si="11"/>
        <v>594145.30000000005</v>
      </c>
      <c r="Z32" s="7">
        <f t="shared" si="12"/>
        <v>1043856.6</v>
      </c>
      <c r="AA32" s="7">
        <f t="shared" si="13"/>
        <v>217470.1</v>
      </c>
      <c r="AB32" s="71">
        <f t="shared" si="14"/>
        <v>6480609.5999999996</v>
      </c>
      <c r="AC32" s="71">
        <f t="shared" si="15"/>
        <v>3812950.4</v>
      </c>
      <c r="AD32" s="71">
        <f t="shared" si="16"/>
        <v>2667659.2000000002</v>
      </c>
      <c r="AE32" s="78">
        <f t="shared" si="17"/>
        <v>6829738.5</v>
      </c>
      <c r="AF32" s="337">
        <v>4917800</v>
      </c>
      <c r="AG32" s="337">
        <v>1911938.49</v>
      </c>
      <c r="AH32" s="72">
        <f t="shared" si="18"/>
        <v>-349128.9</v>
      </c>
    </row>
    <row r="33" spans="1:34" hidden="1" x14ac:dyDescent="0.25">
      <c r="A33" s="59">
        <v>116</v>
      </c>
      <c r="B33" s="73" t="s">
        <v>77</v>
      </c>
      <c r="C33" s="333">
        <v>63.67</v>
      </c>
      <c r="D33" s="79"/>
      <c r="E33" s="72">
        <f t="shared" si="0"/>
        <v>63.67</v>
      </c>
      <c r="F33" s="63">
        <v>1.1399999999999999</v>
      </c>
      <c r="G33" s="76">
        <f t="shared" si="1"/>
        <v>72.58</v>
      </c>
      <c r="H33" s="77">
        <v>1980</v>
      </c>
      <c r="I33" s="331">
        <v>1.2370000000000001</v>
      </c>
      <c r="J33" s="63">
        <v>1.1000000000000001</v>
      </c>
      <c r="K33" s="332">
        <f t="shared" si="2"/>
        <v>4.99E-2</v>
      </c>
      <c r="L33" s="332">
        <v>1</v>
      </c>
      <c r="M33" s="332"/>
      <c r="N33" s="66">
        <f t="shared" si="4"/>
        <v>21300</v>
      </c>
      <c r="O33" s="64">
        <v>1.8</v>
      </c>
      <c r="P33" s="7">
        <v>2.2000000000000002</v>
      </c>
      <c r="Q33" s="64">
        <v>1.302</v>
      </c>
      <c r="R33" s="7">
        <f t="shared" si="5"/>
        <v>1317853.2</v>
      </c>
      <c r="S33" s="7">
        <f t="shared" si="6"/>
        <v>65760.899999999994</v>
      </c>
      <c r="T33" s="69">
        <f t="shared" si="7"/>
        <v>8.9999999999999993E-3</v>
      </c>
      <c r="U33" s="7">
        <v>27093</v>
      </c>
      <c r="V33" s="7">
        <f t="shared" si="8"/>
        <v>59604.6</v>
      </c>
      <c r="W33" s="7">
        <f t="shared" si="9"/>
        <v>18000.599999999999</v>
      </c>
      <c r="X33" s="7">
        <f t="shared" si="10"/>
        <v>931262.3</v>
      </c>
      <c r="Y33" s="7">
        <f t="shared" si="11"/>
        <v>8381.4</v>
      </c>
      <c r="Z33" s="7">
        <f t="shared" si="12"/>
        <v>14828.5</v>
      </c>
      <c r="AA33" s="7">
        <f t="shared" si="13"/>
        <v>3089.3</v>
      </c>
      <c r="AB33" s="71">
        <f t="shared" si="14"/>
        <v>92060.1</v>
      </c>
      <c r="AC33" s="71">
        <f t="shared" si="15"/>
        <v>54164.7</v>
      </c>
      <c r="AD33" s="71">
        <f t="shared" si="16"/>
        <v>37895.4</v>
      </c>
      <c r="AE33" s="78">
        <f t="shared" si="17"/>
        <v>126296.1</v>
      </c>
      <c r="AF33" s="79">
        <v>91849.78</v>
      </c>
      <c r="AG33" s="79">
        <v>34446.33</v>
      </c>
      <c r="AH33" s="72">
        <f t="shared" si="18"/>
        <v>-34236</v>
      </c>
    </row>
    <row r="34" spans="1:34" hidden="1" x14ac:dyDescent="0.25">
      <c r="A34" s="59">
        <v>116</v>
      </c>
      <c r="B34" s="73" t="s">
        <v>78</v>
      </c>
      <c r="C34" s="333">
        <v>73.33</v>
      </c>
      <c r="D34" s="79"/>
      <c r="E34" s="72">
        <f t="shared" si="0"/>
        <v>73.33</v>
      </c>
      <c r="F34" s="63">
        <v>1.1399999999999999</v>
      </c>
      <c r="G34" s="76">
        <f t="shared" si="1"/>
        <v>83.6</v>
      </c>
      <c r="H34" s="77">
        <v>1980</v>
      </c>
      <c r="I34" s="331">
        <v>1.008</v>
      </c>
      <c r="J34" s="63">
        <v>1.1000000000000001</v>
      </c>
      <c r="K34" s="332">
        <f t="shared" si="2"/>
        <v>4.6800000000000001E-2</v>
      </c>
      <c r="L34" s="332">
        <v>1</v>
      </c>
      <c r="M34" s="332"/>
      <c r="N34" s="66">
        <f t="shared" si="4"/>
        <v>21300</v>
      </c>
      <c r="O34" s="64">
        <v>1.8</v>
      </c>
      <c r="P34" s="7">
        <v>2.2000000000000002</v>
      </c>
      <c r="Q34" s="64">
        <v>1.302</v>
      </c>
      <c r="R34" s="7">
        <f t="shared" si="5"/>
        <v>1317853.2</v>
      </c>
      <c r="S34" s="7">
        <f t="shared" si="6"/>
        <v>61675.5</v>
      </c>
      <c r="T34" s="69">
        <f t="shared" si="7"/>
        <v>8.9999999999999993E-3</v>
      </c>
      <c r="U34" s="7">
        <v>27093</v>
      </c>
      <c r="V34" s="7">
        <f t="shared" si="8"/>
        <v>59604.6</v>
      </c>
      <c r="W34" s="7">
        <f t="shared" si="9"/>
        <v>18000.599999999999</v>
      </c>
      <c r="X34" s="7">
        <f t="shared" si="10"/>
        <v>931262.3</v>
      </c>
      <c r="Y34" s="7">
        <f t="shared" si="11"/>
        <v>8381.4</v>
      </c>
      <c r="Z34" s="7">
        <f t="shared" si="12"/>
        <v>14011.4</v>
      </c>
      <c r="AA34" s="7">
        <f t="shared" si="13"/>
        <v>2919</v>
      </c>
      <c r="AB34" s="71">
        <f t="shared" si="14"/>
        <v>86987.3</v>
      </c>
      <c r="AC34" s="71">
        <f t="shared" si="15"/>
        <v>51180.1</v>
      </c>
      <c r="AD34" s="71">
        <f t="shared" si="16"/>
        <v>35807.199999999997</v>
      </c>
      <c r="AE34" s="78">
        <f t="shared" si="17"/>
        <v>150853.70000000001</v>
      </c>
      <c r="AF34" s="79">
        <v>109709.46</v>
      </c>
      <c r="AG34" s="79">
        <v>41144.22</v>
      </c>
      <c r="AH34" s="72">
        <f t="shared" si="18"/>
        <v>-63866.400000000001</v>
      </c>
    </row>
    <row r="35" spans="1:34" hidden="1" x14ac:dyDescent="0.25">
      <c r="A35" s="59">
        <v>116</v>
      </c>
      <c r="B35" s="73" t="s">
        <v>79</v>
      </c>
      <c r="C35" s="333">
        <v>51.67</v>
      </c>
      <c r="D35" s="79"/>
      <c r="E35" s="72">
        <f t="shared" si="0"/>
        <v>51.67</v>
      </c>
      <c r="F35" s="63">
        <v>1.1399999999999999</v>
      </c>
      <c r="G35" s="76">
        <f t="shared" si="1"/>
        <v>58.9</v>
      </c>
      <c r="H35" s="77">
        <v>1980</v>
      </c>
      <c r="I35" s="331">
        <v>1</v>
      </c>
      <c r="J35" s="63">
        <v>1.1000000000000001</v>
      </c>
      <c r="K35" s="332">
        <f t="shared" si="2"/>
        <v>3.27E-2</v>
      </c>
      <c r="L35" s="332">
        <v>1</v>
      </c>
      <c r="M35" s="332"/>
      <c r="N35" s="66">
        <f t="shared" si="4"/>
        <v>21300</v>
      </c>
      <c r="O35" s="64">
        <v>1.8</v>
      </c>
      <c r="P35" s="7">
        <v>2.2000000000000002</v>
      </c>
      <c r="Q35" s="64">
        <v>1.302</v>
      </c>
      <c r="R35" s="7">
        <f t="shared" si="5"/>
        <v>1317853.2</v>
      </c>
      <c r="S35" s="7">
        <f t="shared" si="6"/>
        <v>43093.8</v>
      </c>
      <c r="T35" s="69">
        <f t="shared" si="7"/>
        <v>6.0000000000000001E-3</v>
      </c>
      <c r="U35" s="7">
        <v>27093</v>
      </c>
      <c r="V35" s="7">
        <f t="shared" si="8"/>
        <v>59604.6</v>
      </c>
      <c r="W35" s="7">
        <f t="shared" si="9"/>
        <v>18000.599999999999</v>
      </c>
      <c r="X35" s="7">
        <f t="shared" si="10"/>
        <v>931262.3</v>
      </c>
      <c r="Y35" s="7">
        <f t="shared" si="11"/>
        <v>5587.6</v>
      </c>
      <c r="Z35" s="7">
        <f t="shared" si="12"/>
        <v>9736.2999999999993</v>
      </c>
      <c r="AA35" s="7">
        <f t="shared" si="13"/>
        <v>2028.4</v>
      </c>
      <c r="AB35" s="71">
        <f t="shared" si="14"/>
        <v>60446.1</v>
      </c>
      <c r="AC35" s="71">
        <f t="shared" si="15"/>
        <v>35564.199999999997</v>
      </c>
      <c r="AD35" s="71">
        <f t="shared" si="16"/>
        <v>24881.9</v>
      </c>
      <c r="AE35" s="78">
        <f t="shared" si="17"/>
        <v>112263.2</v>
      </c>
      <c r="AF35" s="79">
        <v>81644.25</v>
      </c>
      <c r="AG35" s="79">
        <v>30618.959999999999</v>
      </c>
      <c r="AH35" s="72">
        <f t="shared" si="18"/>
        <v>-51817.1</v>
      </c>
    </row>
    <row r="36" spans="1:34" hidden="1" x14ac:dyDescent="0.25">
      <c r="A36" s="59">
        <v>116</v>
      </c>
      <c r="B36" s="73" t="s">
        <v>80</v>
      </c>
      <c r="C36" s="333">
        <v>7</v>
      </c>
      <c r="D36" s="79"/>
      <c r="E36" s="72">
        <f t="shared" si="0"/>
        <v>7</v>
      </c>
      <c r="F36" s="63">
        <v>1.1399999999999999</v>
      </c>
      <c r="G36" s="76">
        <f t="shared" si="1"/>
        <v>7.98</v>
      </c>
      <c r="H36" s="77">
        <v>1980</v>
      </c>
      <c r="I36" s="331">
        <v>1.052</v>
      </c>
      <c r="J36" s="63">
        <v>1.1000000000000001</v>
      </c>
      <c r="K36" s="332">
        <f t="shared" si="2"/>
        <v>4.7000000000000002E-3</v>
      </c>
      <c r="L36" s="332">
        <v>1</v>
      </c>
      <c r="M36" s="332"/>
      <c r="N36" s="66">
        <f t="shared" si="4"/>
        <v>21300</v>
      </c>
      <c r="O36" s="64">
        <v>1.8</v>
      </c>
      <c r="P36" s="7">
        <v>2.2000000000000002</v>
      </c>
      <c r="Q36" s="64">
        <v>1.302</v>
      </c>
      <c r="R36" s="7">
        <f t="shared" si="5"/>
        <v>1317853.2</v>
      </c>
      <c r="S36" s="7">
        <f t="shared" si="6"/>
        <v>6193.9</v>
      </c>
      <c r="T36" s="69">
        <f t="shared" si="7"/>
        <v>1E-3</v>
      </c>
      <c r="U36" s="7">
        <v>27093</v>
      </c>
      <c r="V36" s="7">
        <f t="shared" si="8"/>
        <v>59604.6</v>
      </c>
      <c r="W36" s="7">
        <f t="shared" si="9"/>
        <v>18000.599999999999</v>
      </c>
      <c r="X36" s="7">
        <f t="shared" si="10"/>
        <v>931262.3</v>
      </c>
      <c r="Y36" s="7">
        <f t="shared" si="11"/>
        <v>931.3</v>
      </c>
      <c r="Z36" s="7">
        <f t="shared" si="12"/>
        <v>1425</v>
      </c>
      <c r="AA36" s="7">
        <f t="shared" si="13"/>
        <v>296.89999999999998</v>
      </c>
      <c r="AB36" s="71">
        <f t="shared" si="14"/>
        <v>8847.1</v>
      </c>
      <c r="AC36" s="71">
        <f t="shared" si="15"/>
        <v>5205.3</v>
      </c>
      <c r="AD36" s="71">
        <f t="shared" si="16"/>
        <v>3641.8</v>
      </c>
      <c r="AE36" s="78">
        <f t="shared" si="17"/>
        <v>33328.1</v>
      </c>
      <c r="AF36" s="79">
        <v>24238.14</v>
      </c>
      <c r="AG36" s="79">
        <v>9090</v>
      </c>
      <c r="AH36" s="72">
        <f t="shared" si="18"/>
        <v>-24481</v>
      </c>
    </row>
    <row r="37" spans="1:34" hidden="1" x14ac:dyDescent="0.25">
      <c r="A37" s="59">
        <v>116</v>
      </c>
      <c r="B37" s="73" t="s">
        <v>81</v>
      </c>
      <c r="C37" s="333">
        <v>40.33</v>
      </c>
      <c r="D37" s="79"/>
      <c r="E37" s="72">
        <f t="shared" si="0"/>
        <v>40.33</v>
      </c>
      <c r="F37" s="63">
        <v>1.1399999999999999</v>
      </c>
      <c r="G37" s="76">
        <f t="shared" si="1"/>
        <v>45.98</v>
      </c>
      <c r="H37" s="77">
        <v>1980</v>
      </c>
      <c r="I37" s="331">
        <v>1</v>
      </c>
      <c r="J37" s="63">
        <v>1.1000000000000001</v>
      </c>
      <c r="K37" s="332">
        <f t="shared" si="2"/>
        <v>2.5499999999999998E-2</v>
      </c>
      <c r="L37" s="332">
        <v>1</v>
      </c>
      <c r="M37" s="332"/>
      <c r="N37" s="66">
        <f t="shared" si="4"/>
        <v>21300</v>
      </c>
      <c r="O37" s="64">
        <v>1.8</v>
      </c>
      <c r="P37" s="7">
        <v>2.2000000000000002</v>
      </c>
      <c r="Q37" s="64">
        <v>1.302</v>
      </c>
      <c r="R37" s="7">
        <f t="shared" si="5"/>
        <v>1317853.2</v>
      </c>
      <c r="S37" s="7">
        <f t="shared" si="6"/>
        <v>33605.300000000003</v>
      </c>
      <c r="T37" s="69">
        <f t="shared" si="7"/>
        <v>5.0000000000000001E-3</v>
      </c>
      <c r="U37" s="7">
        <v>27093</v>
      </c>
      <c r="V37" s="7">
        <f t="shared" si="8"/>
        <v>59604.6</v>
      </c>
      <c r="W37" s="7">
        <f t="shared" si="9"/>
        <v>18000.599999999999</v>
      </c>
      <c r="X37" s="7">
        <f t="shared" si="10"/>
        <v>931262.3</v>
      </c>
      <c r="Y37" s="7">
        <f t="shared" si="11"/>
        <v>4656.3</v>
      </c>
      <c r="Z37" s="7">
        <f t="shared" si="12"/>
        <v>7652.3</v>
      </c>
      <c r="AA37" s="7">
        <f t="shared" si="13"/>
        <v>1594.2</v>
      </c>
      <c r="AB37" s="71">
        <f t="shared" si="14"/>
        <v>47508.1</v>
      </c>
      <c r="AC37" s="71">
        <f t="shared" si="15"/>
        <v>27952</v>
      </c>
      <c r="AD37" s="71">
        <f t="shared" si="16"/>
        <v>19556.099999999999</v>
      </c>
      <c r="AE37" s="78">
        <f t="shared" si="17"/>
        <v>80689.2</v>
      </c>
      <c r="AF37" s="79">
        <v>58681.8</v>
      </c>
      <c r="AG37" s="79">
        <v>22007.37</v>
      </c>
      <c r="AH37" s="72">
        <f t="shared" si="18"/>
        <v>-33181.1</v>
      </c>
    </row>
    <row r="38" spans="1:34" hidden="1" x14ac:dyDescent="0.25">
      <c r="A38" s="59">
        <v>116</v>
      </c>
      <c r="B38" s="73" t="s">
        <v>82</v>
      </c>
      <c r="C38" s="333">
        <v>78</v>
      </c>
      <c r="D38" s="79"/>
      <c r="E38" s="72">
        <f t="shared" si="0"/>
        <v>78</v>
      </c>
      <c r="F38" s="63">
        <v>1.1399999999999999</v>
      </c>
      <c r="G38" s="76">
        <f t="shared" ref="G38:G92" si="19">E38*F38</f>
        <v>88.92</v>
      </c>
      <c r="H38" s="77">
        <v>1980</v>
      </c>
      <c r="I38" s="331">
        <v>1.2170000000000001</v>
      </c>
      <c r="J38" s="63">
        <v>1.1000000000000001</v>
      </c>
      <c r="K38" s="332">
        <f t="shared" si="2"/>
        <v>6.0100000000000001E-2</v>
      </c>
      <c r="L38" s="332">
        <v>1</v>
      </c>
      <c r="M38" s="332"/>
      <c r="N38" s="66">
        <f t="shared" si="4"/>
        <v>21300</v>
      </c>
      <c r="O38" s="64">
        <v>1.8</v>
      </c>
      <c r="P38" s="7">
        <v>2.2000000000000002</v>
      </c>
      <c r="Q38" s="64">
        <v>1.302</v>
      </c>
      <c r="R38" s="7">
        <f t="shared" si="5"/>
        <v>1317853.2</v>
      </c>
      <c r="S38" s="7">
        <f t="shared" ref="S38:S92" si="20">(R38*K38)</f>
        <v>79203</v>
      </c>
      <c r="T38" s="69">
        <f t="shared" si="7"/>
        <v>1.0999999999999999E-2</v>
      </c>
      <c r="U38" s="7">
        <v>27093</v>
      </c>
      <c r="V38" s="7">
        <f t="shared" si="8"/>
        <v>59604.6</v>
      </c>
      <c r="W38" s="7">
        <f t="shared" si="9"/>
        <v>18000.599999999999</v>
      </c>
      <c r="X38" s="7">
        <f t="shared" si="10"/>
        <v>931262.3</v>
      </c>
      <c r="Y38" s="7">
        <f t="shared" si="11"/>
        <v>10243.9</v>
      </c>
      <c r="Z38" s="7">
        <f t="shared" si="12"/>
        <v>17889.400000000001</v>
      </c>
      <c r="AA38" s="7">
        <f t="shared" si="13"/>
        <v>3727</v>
      </c>
      <c r="AB38" s="71">
        <f t="shared" si="14"/>
        <v>111063.3</v>
      </c>
      <c r="AC38" s="71">
        <f t="shared" si="15"/>
        <v>65345.5</v>
      </c>
      <c r="AD38" s="71">
        <f t="shared" si="16"/>
        <v>45717.8</v>
      </c>
      <c r="AE38" s="78">
        <f t="shared" si="17"/>
        <v>157870.1</v>
      </c>
      <c r="AF38" s="79">
        <v>114812.23</v>
      </c>
      <c r="AG38" s="79">
        <v>43057.91</v>
      </c>
      <c r="AH38" s="72">
        <f t="shared" si="18"/>
        <v>-46806.8</v>
      </c>
    </row>
    <row r="39" spans="1:34" hidden="1" x14ac:dyDescent="0.25">
      <c r="A39" s="59">
        <v>116</v>
      </c>
      <c r="B39" s="73" t="s">
        <v>83</v>
      </c>
      <c r="C39" s="333">
        <v>30.67</v>
      </c>
      <c r="D39" s="79"/>
      <c r="E39" s="72">
        <f t="shared" si="0"/>
        <v>30.67</v>
      </c>
      <c r="F39" s="63">
        <v>1.1399999999999999</v>
      </c>
      <c r="G39" s="76">
        <f t="shared" si="19"/>
        <v>34.96</v>
      </c>
      <c r="H39" s="77">
        <v>1980</v>
      </c>
      <c r="I39" s="331">
        <v>1.3620000000000001</v>
      </c>
      <c r="J39" s="63">
        <v>1.1000000000000001</v>
      </c>
      <c r="K39" s="332">
        <f t="shared" si="2"/>
        <v>2.6499999999999999E-2</v>
      </c>
      <c r="L39" s="332">
        <v>1</v>
      </c>
      <c r="M39" s="332"/>
      <c r="N39" s="66">
        <f t="shared" si="4"/>
        <v>21300</v>
      </c>
      <c r="O39" s="64">
        <v>1.8</v>
      </c>
      <c r="P39" s="7">
        <v>2.2000000000000002</v>
      </c>
      <c r="Q39" s="64">
        <v>1.302</v>
      </c>
      <c r="R39" s="7">
        <f t="shared" si="5"/>
        <v>1317853.2</v>
      </c>
      <c r="S39" s="7">
        <f t="shared" si="20"/>
        <v>34923.1</v>
      </c>
      <c r="T39" s="69">
        <f t="shared" si="7"/>
        <v>5.0000000000000001E-3</v>
      </c>
      <c r="U39" s="7">
        <v>27093</v>
      </c>
      <c r="V39" s="7">
        <f t="shared" si="8"/>
        <v>59604.6</v>
      </c>
      <c r="W39" s="7">
        <f t="shared" si="9"/>
        <v>18000.599999999999</v>
      </c>
      <c r="X39" s="7">
        <f t="shared" si="10"/>
        <v>931262.3</v>
      </c>
      <c r="Y39" s="7">
        <f t="shared" si="11"/>
        <v>4656.3</v>
      </c>
      <c r="Z39" s="7">
        <f t="shared" si="12"/>
        <v>7915.9</v>
      </c>
      <c r="AA39" s="7">
        <f t="shared" si="13"/>
        <v>1649.1</v>
      </c>
      <c r="AB39" s="71">
        <f t="shared" si="14"/>
        <v>49144.4</v>
      </c>
      <c r="AC39" s="71">
        <f t="shared" si="15"/>
        <v>28914.7</v>
      </c>
      <c r="AD39" s="71">
        <f t="shared" si="16"/>
        <v>20229.7</v>
      </c>
      <c r="AE39" s="78">
        <f t="shared" si="17"/>
        <v>59639.8</v>
      </c>
      <c r="AF39" s="79">
        <v>43373.51</v>
      </c>
      <c r="AG39" s="79">
        <v>16266.32</v>
      </c>
      <c r="AH39" s="72">
        <f t="shared" si="18"/>
        <v>-10495.4</v>
      </c>
    </row>
    <row r="40" spans="1:34" hidden="1" x14ac:dyDescent="0.25">
      <c r="A40" s="59">
        <v>116</v>
      </c>
      <c r="B40" s="73" t="s">
        <v>84</v>
      </c>
      <c r="C40" s="333">
        <v>32.67</v>
      </c>
      <c r="D40" s="79"/>
      <c r="E40" s="72">
        <f t="shared" si="0"/>
        <v>32.67</v>
      </c>
      <c r="F40" s="63">
        <v>1.1399999999999999</v>
      </c>
      <c r="G40" s="76">
        <f t="shared" si="19"/>
        <v>37.24</v>
      </c>
      <c r="H40" s="77">
        <v>1980</v>
      </c>
      <c r="I40" s="331">
        <v>1</v>
      </c>
      <c r="J40" s="63">
        <v>1.1000000000000001</v>
      </c>
      <c r="K40" s="332">
        <f t="shared" si="2"/>
        <v>2.07E-2</v>
      </c>
      <c r="L40" s="332">
        <v>1</v>
      </c>
      <c r="M40" s="332"/>
      <c r="N40" s="66">
        <f t="shared" si="4"/>
        <v>21300</v>
      </c>
      <c r="O40" s="64">
        <v>1.8</v>
      </c>
      <c r="P40" s="7">
        <v>2.2000000000000002</v>
      </c>
      <c r="Q40" s="64">
        <v>1.302</v>
      </c>
      <c r="R40" s="7">
        <f t="shared" si="5"/>
        <v>1317853.2</v>
      </c>
      <c r="S40" s="7">
        <f t="shared" si="20"/>
        <v>27279.599999999999</v>
      </c>
      <c r="T40" s="69">
        <f t="shared" si="7"/>
        <v>4.0000000000000001E-3</v>
      </c>
      <c r="U40" s="7">
        <v>27093</v>
      </c>
      <c r="V40" s="7">
        <f t="shared" si="8"/>
        <v>59604.6</v>
      </c>
      <c r="W40" s="7">
        <f t="shared" si="9"/>
        <v>18000.599999999999</v>
      </c>
      <c r="X40" s="7">
        <f t="shared" si="10"/>
        <v>931262.3</v>
      </c>
      <c r="Y40" s="7">
        <f t="shared" si="11"/>
        <v>3725</v>
      </c>
      <c r="Z40" s="7">
        <f t="shared" si="12"/>
        <v>6200.9</v>
      </c>
      <c r="AA40" s="7">
        <f t="shared" si="13"/>
        <v>1291.9000000000001</v>
      </c>
      <c r="AB40" s="71">
        <f t="shared" si="14"/>
        <v>38497.4</v>
      </c>
      <c r="AC40" s="71">
        <f t="shared" si="15"/>
        <v>22650.400000000001</v>
      </c>
      <c r="AD40" s="71">
        <f t="shared" si="16"/>
        <v>15847</v>
      </c>
      <c r="AE40" s="78">
        <f t="shared" si="17"/>
        <v>57885.7</v>
      </c>
      <c r="AF40" s="79">
        <v>42097.82</v>
      </c>
      <c r="AG40" s="79">
        <v>15787.9</v>
      </c>
      <c r="AH40" s="72">
        <f t="shared" si="18"/>
        <v>-19388.3</v>
      </c>
    </row>
    <row r="41" spans="1:34" hidden="1" x14ac:dyDescent="0.25">
      <c r="A41" s="59">
        <v>116</v>
      </c>
      <c r="B41" s="73" t="s">
        <v>85</v>
      </c>
      <c r="C41" s="333">
        <v>10.67</v>
      </c>
      <c r="D41" s="79"/>
      <c r="E41" s="72">
        <f t="shared" si="0"/>
        <v>10.67</v>
      </c>
      <c r="F41" s="63">
        <v>1.1399999999999999</v>
      </c>
      <c r="G41" s="76">
        <f t="shared" si="19"/>
        <v>12.16</v>
      </c>
      <c r="H41" s="77">
        <v>1980</v>
      </c>
      <c r="I41" s="331">
        <v>1.9990000000000001</v>
      </c>
      <c r="J41" s="63">
        <v>1.1000000000000001</v>
      </c>
      <c r="K41" s="332">
        <f t="shared" si="2"/>
        <v>1.35E-2</v>
      </c>
      <c r="L41" s="332">
        <v>1</v>
      </c>
      <c r="M41" s="332"/>
      <c r="N41" s="66">
        <f t="shared" si="4"/>
        <v>21300</v>
      </c>
      <c r="O41" s="64">
        <v>1.8</v>
      </c>
      <c r="P41" s="7">
        <v>2.2000000000000002</v>
      </c>
      <c r="Q41" s="64">
        <v>1.302</v>
      </c>
      <c r="R41" s="7">
        <f t="shared" si="5"/>
        <v>1317853.2</v>
      </c>
      <c r="S41" s="7">
        <f t="shared" si="20"/>
        <v>17791</v>
      </c>
      <c r="T41" s="69">
        <f t="shared" si="7"/>
        <v>2E-3</v>
      </c>
      <c r="U41" s="7">
        <v>27093</v>
      </c>
      <c r="V41" s="7">
        <f t="shared" si="8"/>
        <v>59604.6</v>
      </c>
      <c r="W41" s="7">
        <f t="shared" si="9"/>
        <v>18000.599999999999</v>
      </c>
      <c r="X41" s="7">
        <f t="shared" si="10"/>
        <v>931262.3</v>
      </c>
      <c r="Y41" s="7">
        <f t="shared" si="11"/>
        <v>1862.5</v>
      </c>
      <c r="Z41" s="7">
        <f t="shared" si="12"/>
        <v>3930.7</v>
      </c>
      <c r="AA41" s="7">
        <f t="shared" si="13"/>
        <v>818.9</v>
      </c>
      <c r="AB41" s="71">
        <f t="shared" si="14"/>
        <v>24403.1</v>
      </c>
      <c r="AC41" s="71">
        <f t="shared" si="15"/>
        <v>14357.9</v>
      </c>
      <c r="AD41" s="71">
        <f t="shared" si="16"/>
        <v>10045.200000000001</v>
      </c>
      <c r="AE41" s="78">
        <f t="shared" si="17"/>
        <v>22803.5</v>
      </c>
      <c r="AF41" s="79">
        <v>16583.990000000002</v>
      </c>
      <c r="AG41" s="79">
        <v>6219.48</v>
      </c>
      <c r="AH41" s="72">
        <f t="shared" si="18"/>
        <v>1599.6</v>
      </c>
    </row>
    <row r="42" spans="1:34" s="347" customFormat="1" hidden="1" x14ac:dyDescent="0.25">
      <c r="A42" s="334">
        <v>117</v>
      </c>
      <c r="B42" s="335" t="s">
        <v>86</v>
      </c>
      <c r="C42" s="336">
        <v>419.33</v>
      </c>
      <c r="D42" s="337">
        <v>4112.67</v>
      </c>
      <c r="E42" s="338">
        <f t="shared" si="0"/>
        <v>4532</v>
      </c>
      <c r="F42" s="63">
        <v>1.1399999999999999</v>
      </c>
      <c r="G42" s="339">
        <f t="shared" si="19"/>
        <v>5166.4799999999996</v>
      </c>
      <c r="H42" s="340">
        <v>1980</v>
      </c>
      <c r="I42" s="341">
        <v>1.0029999999999999</v>
      </c>
      <c r="J42" s="342">
        <v>1.1000000000000001</v>
      </c>
      <c r="K42" s="343">
        <f t="shared" si="2"/>
        <v>2.8788999999999998</v>
      </c>
      <c r="L42" s="343">
        <v>3</v>
      </c>
      <c r="M42" s="343">
        <f>K42-L42</f>
        <v>-0.1211</v>
      </c>
      <c r="N42" s="66">
        <f t="shared" si="4"/>
        <v>21300</v>
      </c>
      <c r="O42" s="344">
        <v>1.8</v>
      </c>
      <c r="P42" s="345">
        <v>2.2000000000000002</v>
      </c>
      <c r="Q42" s="344">
        <v>1.302</v>
      </c>
      <c r="R42" s="345">
        <f t="shared" si="5"/>
        <v>1317853.2</v>
      </c>
      <c r="S42" s="345">
        <f t="shared" si="20"/>
        <v>3793967.6</v>
      </c>
      <c r="T42" s="346">
        <f t="shared" si="7"/>
        <v>0.52300000000000002</v>
      </c>
      <c r="U42" s="7">
        <v>27093</v>
      </c>
      <c r="V42" s="7">
        <f t="shared" si="8"/>
        <v>59604.6</v>
      </c>
      <c r="W42" s="345">
        <f t="shared" si="9"/>
        <v>18000.599999999999</v>
      </c>
      <c r="X42" s="7">
        <f t="shared" si="10"/>
        <v>931262.3</v>
      </c>
      <c r="Y42" s="7">
        <f t="shared" si="11"/>
        <v>487050.2</v>
      </c>
      <c r="Z42" s="7">
        <f t="shared" si="12"/>
        <v>856203.6</v>
      </c>
      <c r="AA42" s="7">
        <f t="shared" si="13"/>
        <v>178375.7</v>
      </c>
      <c r="AB42" s="71">
        <f t="shared" si="14"/>
        <v>5315597.0999999996</v>
      </c>
      <c r="AC42" s="71">
        <f t="shared" si="15"/>
        <v>3127500.2</v>
      </c>
      <c r="AD42" s="71">
        <f t="shared" si="16"/>
        <v>2188096.9</v>
      </c>
      <c r="AE42" s="78">
        <f t="shared" si="17"/>
        <v>6829738.5</v>
      </c>
      <c r="AF42" s="337">
        <v>4917800</v>
      </c>
      <c r="AG42" s="337">
        <v>1911938.49</v>
      </c>
      <c r="AH42" s="72">
        <f t="shared" si="18"/>
        <v>-1514141.4</v>
      </c>
    </row>
    <row r="43" spans="1:34" hidden="1" x14ac:dyDescent="0.25">
      <c r="A43" s="59">
        <v>117</v>
      </c>
      <c r="B43" s="73" t="s">
        <v>87</v>
      </c>
      <c r="C43" s="333">
        <v>28</v>
      </c>
      <c r="D43" s="79"/>
      <c r="E43" s="72">
        <f t="shared" si="0"/>
        <v>28</v>
      </c>
      <c r="F43" s="63">
        <v>1.1399999999999999</v>
      </c>
      <c r="G43" s="76">
        <f t="shared" si="19"/>
        <v>31.92</v>
      </c>
      <c r="H43" s="77">
        <v>1980</v>
      </c>
      <c r="I43" s="331">
        <v>1</v>
      </c>
      <c r="J43" s="63">
        <v>1.1000000000000001</v>
      </c>
      <c r="K43" s="332">
        <f t="shared" si="2"/>
        <v>1.77E-2</v>
      </c>
      <c r="L43" s="332">
        <v>1</v>
      </c>
      <c r="M43" s="332"/>
      <c r="N43" s="66">
        <f t="shared" si="4"/>
        <v>21300</v>
      </c>
      <c r="O43" s="64">
        <v>1.8</v>
      </c>
      <c r="P43" s="7">
        <v>2.2000000000000002</v>
      </c>
      <c r="Q43" s="64">
        <v>1.302</v>
      </c>
      <c r="R43" s="7">
        <f t="shared" si="5"/>
        <v>1317853.2</v>
      </c>
      <c r="S43" s="7">
        <f t="shared" si="20"/>
        <v>23326</v>
      </c>
      <c r="T43" s="69">
        <f t="shared" si="7"/>
        <v>3.0000000000000001E-3</v>
      </c>
      <c r="U43" s="7">
        <v>27093</v>
      </c>
      <c r="V43" s="7">
        <f t="shared" si="8"/>
        <v>59604.6</v>
      </c>
      <c r="W43" s="7">
        <f t="shared" si="9"/>
        <v>18000.599999999999</v>
      </c>
      <c r="X43" s="7">
        <f t="shared" si="10"/>
        <v>931262.3</v>
      </c>
      <c r="Y43" s="7">
        <f t="shared" si="11"/>
        <v>2793.8</v>
      </c>
      <c r="Z43" s="7">
        <f t="shared" si="12"/>
        <v>5224</v>
      </c>
      <c r="AA43" s="7">
        <f t="shared" si="13"/>
        <v>1088.3</v>
      </c>
      <c r="AB43" s="71">
        <f t="shared" si="14"/>
        <v>32432.1</v>
      </c>
      <c r="AC43" s="71">
        <f t="shared" si="15"/>
        <v>19081.8</v>
      </c>
      <c r="AD43" s="71">
        <f t="shared" si="16"/>
        <v>13350.3</v>
      </c>
      <c r="AE43" s="78">
        <f t="shared" si="17"/>
        <v>56131.6</v>
      </c>
      <c r="AF43" s="79">
        <v>40822.120000000003</v>
      </c>
      <c r="AG43" s="79">
        <v>15309.48</v>
      </c>
      <c r="AH43" s="72">
        <f t="shared" si="18"/>
        <v>-23699.5</v>
      </c>
    </row>
    <row r="44" spans="1:34" hidden="1" x14ac:dyDescent="0.25">
      <c r="A44" s="59">
        <v>117</v>
      </c>
      <c r="B44" s="73" t="s">
        <v>88</v>
      </c>
      <c r="C44" s="333">
        <v>430.33</v>
      </c>
      <c r="D44" s="79"/>
      <c r="E44" s="72">
        <f t="shared" si="0"/>
        <v>430.33</v>
      </c>
      <c r="F44" s="63">
        <v>1.1399999999999999</v>
      </c>
      <c r="G44" s="76">
        <f t="shared" si="19"/>
        <v>490.58</v>
      </c>
      <c r="H44" s="77">
        <v>1980</v>
      </c>
      <c r="I44" s="331">
        <v>1</v>
      </c>
      <c r="J44" s="63">
        <v>1.1000000000000001</v>
      </c>
      <c r="K44" s="332">
        <f t="shared" si="2"/>
        <v>0.27250000000000002</v>
      </c>
      <c r="L44" s="332">
        <v>1</v>
      </c>
      <c r="M44" s="332"/>
      <c r="N44" s="66">
        <f t="shared" si="4"/>
        <v>21300</v>
      </c>
      <c r="O44" s="64">
        <v>1.8</v>
      </c>
      <c r="P44" s="7">
        <v>2.2000000000000002</v>
      </c>
      <c r="Q44" s="64">
        <v>1.302</v>
      </c>
      <c r="R44" s="7">
        <f t="shared" si="5"/>
        <v>1317853.2</v>
      </c>
      <c r="S44" s="7">
        <f t="shared" si="20"/>
        <v>359115</v>
      </c>
      <c r="T44" s="69">
        <f t="shared" si="7"/>
        <v>0.05</v>
      </c>
      <c r="U44" s="7">
        <v>27093</v>
      </c>
      <c r="V44" s="7">
        <f t="shared" si="8"/>
        <v>59604.6</v>
      </c>
      <c r="W44" s="7">
        <f t="shared" si="9"/>
        <v>18000.599999999999</v>
      </c>
      <c r="X44" s="7">
        <f t="shared" si="10"/>
        <v>931262.3</v>
      </c>
      <c r="Y44" s="7">
        <f t="shared" si="11"/>
        <v>46563.1</v>
      </c>
      <c r="Z44" s="7">
        <f t="shared" si="12"/>
        <v>81135.600000000006</v>
      </c>
      <c r="AA44" s="7">
        <f t="shared" si="13"/>
        <v>16903.3</v>
      </c>
      <c r="AB44" s="71">
        <f t="shared" si="14"/>
        <v>503717</v>
      </c>
      <c r="AC44" s="71">
        <f t="shared" si="15"/>
        <v>296368.40000000002</v>
      </c>
      <c r="AD44" s="71">
        <f t="shared" si="16"/>
        <v>207348.6</v>
      </c>
      <c r="AE44" s="78">
        <f t="shared" si="17"/>
        <v>822370.8</v>
      </c>
      <c r="AF44" s="79">
        <v>598075.28</v>
      </c>
      <c r="AG44" s="79">
        <v>224295.53</v>
      </c>
      <c r="AH44" s="72">
        <f t="shared" si="18"/>
        <v>-318653.8</v>
      </c>
    </row>
    <row r="45" spans="1:34" hidden="1" x14ac:dyDescent="0.25">
      <c r="A45" s="59">
        <v>117</v>
      </c>
      <c r="B45" s="73" t="s">
        <v>89</v>
      </c>
      <c r="C45" s="333">
        <v>125.33</v>
      </c>
      <c r="D45" s="79"/>
      <c r="E45" s="72">
        <f t="shared" si="0"/>
        <v>125.33</v>
      </c>
      <c r="F45" s="63">
        <v>1.1399999999999999</v>
      </c>
      <c r="G45" s="76">
        <f t="shared" si="19"/>
        <v>142.88</v>
      </c>
      <c r="H45" s="77">
        <v>1980</v>
      </c>
      <c r="I45" s="331">
        <v>1.018</v>
      </c>
      <c r="J45" s="63">
        <v>1.1000000000000001</v>
      </c>
      <c r="K45" s="332">
        <f t="shared" si="2"/>
        <v>8.0799999999999997E-2</v>
      </c>
      <c r="L45" s="332">
        <v>1</v>
      </c>
      <c r="M45" s="332"/>
      <c r="N45" s="66">
        <f t="shared" si="4"/>
        <v>21300</v>
      </c>
      <c r="O45" s="64">
        <v>1.8</v>
      </c>
      <c r="P45" s="7">
        <v>2.2000000000000002</v>
      </c>
      <c r="Q45" s="64">
        <v>1.302</v>
      </c>
      <c r="R45" s="7">
        <f t="shared" si="5"/>
        <v>1317853.2</v>
      </c>
      <c r="S45" s="7">
        <f t="shared" si="20"/>
        <v>106482.5</v>
      </c>
      <c r="T45" s="69">
        <f t="shared" si="7"/>
        <v>1.4999999999999999E-2</v>
      </c>
      <c r="U45" s="7">
        <v>27093</v>
      </c>
      <c r="V45" s="7">
        <f t="shared" si="8"/>
        <v>59604.6</v>
      </c>
      <c r="W45" s="7">
        <f t="shared" si="9"/>
        <v>18000.599999999999</v>
      </c>
      <c r="X45" s="7">
        <f t="shared" si="10"/>
        <v>931262.3</v>
      </c>
      <c r="Y45" s="7">
        <f t="shared" si="11"/>
        <v>13968.9</v>
      </c>
      <c r="Z45" s="7">
        <f t="shared" si="12"/>
        <v>24090.3</v>
      </c>
      <c r="AA45" s="7">
        <f t="shared" si="13"/>
        <v>5018.8</v>
      </c>
      <c r="AB45" s="71">
        <f t="shared" si="14"/>
        <v>149560.5</v>
      </c>
      <c r="AC45" s="71">
        <f t="shared" si="15"/>
        <v>87995.9</v>
      </c>
      <c r="AD45" s="71">
        <f t="shared" si="16"/>
        <v>61564.6</v>
      </c>
      <c r="AE45" s="78">
        <f t="shared" si="17"/>
        <v>233297</v>
      </c>
      <c r="AF45" s="79">
        <v>169666.95</v>
      </c>
      <c r="AG45" s="79">
        <v>63630.02</v>
      </c>
      <c r="AH45" s="72">
        <f t="shared" si="18"/>
        <v>-83736.5</v>
      </c>
    </row>
    <row r="46" spans="1:34" hidden="1" x14ac:dyDescent="0.25">
      <c r="A46" s="59">
        <v>117</v>
      </c>
      <c r="B46" s="73" t="s">
        <v>90</v>
      </c>
      <c r="C46" s="333">
        <v>4.33</v>
      </c>
      <c r="D46" s="348"/>
      <c r="E46" s="72">
        <f t="shared" ref="E46:E92" si="21">(C46+D46)</f>
        <v>4.33</v>
      </c>
      <c r="F46" s="63">
        <v>1.1399999999999999</v>
      </c>
      <c r="G46" s="76">
        <f t="shared" si="19"/>
        <v>4.9400000000000004</v>
      </c>
      <c r="H46" s="77">
        <v>1980</v>
      </c>
      <c r="I46" s="331">
        <v>1</v>
      </c>
      <c r="J46" s="63">
        <v>1.1000000000000001</v>
      </c>
      <c r="K46" s="332">
        <f t="shared" si="2"/>
        <v>2.7000000000000001E-3</v>
      </c>
      <c r="L46" s="332">
        <v>1</v>
      </c>
      <c r="M46" s="332"/>
      <c r="N46" s="66">
        <f t="shared" si="4"/>
        <v>21300</v>
      </c>
      <c r="O46" s="64">
        <v>1.8</v>
      </c>
      <c r="P46" s="7">
        <v>2.2000000000000002</v>
      </c>
      <c r="Q46" s="64">
        <v>1.302</v>
      </c>
      <c r="R46" s="7">
        <f t="shared" si="5"/>
        <v>1317853.2</v>
      </c>
      <c r="S46" s="7">
        <f t="shared" si="20"/>
        <v>3558.2</v>
      </c>
      <c r="T46" s="69">
        <f t="shared" si="7"/>
        <v>0</v>
      </c>
      <c r="U46" s="7">
        <v>27093</v>
      </c>
      <c r="V46" s="7">
        <f t="shared" si="8"/>
        <v>59604.6</v>
      </c>
      <c r="W46" s="7">
        <f t="shared" si="9"/>
        <v>18000.599999999999</v>
      </c>
      <c r="X46" s="7">
        <f t="shared" si="10"/>
        <v>931262.3</v>
      </c>
      <c r="Y46" s="7">
        <f t="shared" si="11"/>
        <v>0</v>
      </c>
      <c r="Z46" s="7">
        <f t="shared" si="12"/>
        <v>711.6</v>
      </c>
      <c r="AA46" s="7">
        <f t="shared" si="13"/>
        <v>148.30000000000001</v>
      </c>
      <c r="AB46" s="71">
        <f t="shared" si="14"/>
        <v>4418.1000000000004</v>
      </c>
      <c r="AC46" s="71">
        <f t="shared" si="15"/>
        <v>2599.4</v>
      </c>
      <c r="AD46" s="71">
        <f t="shared" si="16"/>
        <v>1818.7</v>
      </c>
      <c r="AE46" s="78">
        <f t="shared" si="17"/>
        <v>7016.5</v>
      </c>
      <c r="AF46" s="79">
        <v>5102.7700000000004</v>
      </c>
      <c r="AG46" s="79">
        <v>1913.68</v>
      </c>
      <c r="AH46" s="72">
        <f t="shared" si="18"/>
        <v>-2598.4</v>
      </c>
    </row>
    <row r="47" spans="1:34" s="347" customFormat="1" hidden="1" x14ac:dyDescent="0.25">
      <c r="A47" s="334">
        <v>118</v>
      </c>
      <c r="B47" s="335" t="s">
        <v>91</v>
      </c>
      <c r="C47" s="336">
        <v>796.33</v>
      </c>
      <c r="D47" s="337">
        <v>3825</v>
      </c>
      <c r="E47" s="338">
        <f t="shared" si="21"/>
        <v>4621.33</v>
      </c>
      <c r="F47" s="63">
        <v>1.1399999999999999</v>
      </c>
      <c r="G47" s="339">
        <f t="shared" si="19"/>
        <v>5268.32</v>
      </c>
      <c r="H47" s="340">
        <v>1980</v>
      </c>
      <c r="I47" s="341">
        <v>1.022</v>
      </c>
      <c r="J47" s="342">
        <v>1.1000000000000001</v>
      </c>
      <c r="K47" s="343">
        <f t="shared" si="2"/>
        <v>2.9912000000000001</v>
      </c>
      <c r="L47" s="343">
        <v>3</v>
      </c>
      <c r="M47" s="343">
        <f>K47-L47</f>
        <v>-8.8000000000000005E-3</v>
      </c>
      <c r="N47" s="66">
        <f t="shared" si="4"/>
        <v>21300</v>
      </c>
      <c r="O47" s="344">
        <v>1.8</v>
      </c>
      <c r="P47" s="345">
        <v>2.2000000000000002</v>
      </c>
      <c r="Q47" s="344">
        <v>1.302</v>
      </c>
      <c r="R47" s="345">
        <f t="shared" si="5"/>
        <v>1317853.2</v>
      </c>
      <c r="S47" s="345">
        <f t="shared" si="20"/>
        <v>3941962.5</v>
      </c>
      <c r="T47" s="346">
        <f t="shared" si="7"/>
        <v>0.54400000000000004</v>
      </c>
      <c r="U47" s="7">
        <v>27093</v>
      </c>
      <c r="V47" s="7">
        <f t="shared" si="8"/>
        <v>59604.6</v>
      </c>
      <c r="W47" s="345">
        <f t="shared" si="9"/>
        <v>18000.599999999999</v>
      </c>
      <c r="X47" s="7">
        <f t="shared" si="10"/>
        <v>931262.3</v>
      </c>
      <c r="Y47" s="7">
        <f t="shared" si="11"/>
        <v>506606.7</v>
      </c>
      <c r="Z47" s="7">
        <f t="shared" si="12"/>
        <v>889713.8</v>
      </c>
      <c r="AA47" s="7">
        <f t="shared" si="13"/>
        <v>185357</v>
      </c>
      <c r="AB47" s="71">
        <f t="shared" si="14"/>
        <v>5523640</v>
      </c>
      <c r="AC47" s="71">
        <f t="shared" si="15"/>
        <v>3249905</v>
      </c>
      <c r="AD47" s="71">
        <f t="shared" si="16"/>
        <v>2273735</v>
      </c>
      <c r="AE47" s="78">
        <f t="shared" si="17"/>
        <v>6829738.5</v>
      </c>
      <c r="AF47" s="337">
        <v>4917800</v>
      </c>
      <c r="AG47" s="337">
        <v>1911938.49</v>
      </c>
      <c r="AH47" s="72">
        <f t="shared" si="18"/>
        <v>-1306098.5</v>
      </c>
    </row>
    <row r="48" spans="1:34" hidden="1" x14ac:dyDescent="0.25">
      <c r="A48" s="59">
        <v>118</v>
      </c>
      <c r="B48" s="73" t="s">
        <v>92</v>
      </c>
      <c r="C48" s="333">
        <v>17</v>
      </c>
      <c r="D48" s="79">
        <v>0</v>
      </c>
      <c r="E48" s="72">
        <f t="shared" si="21"/>
        <v>17</v>
      </c>
      <c r="F48" s="63">
        <v>1.1399999999999999</v>
      </c>
      <c r="G48" s="76">
        <f t="shared" si="19"/>
        <v>19.38</v>
      </c>
      <c r="H48" s="77">
        <v>1980</v>
      </c>
      <c r="I48" s="331">
        <v>1</v>
      </c>
      <c r="J48" s="63">
        <v>1.1000000000000001</v>
      </c>
      <c r="K48" s="332">
        <f t="shared" si="2"/>
        <v>1.0800000000000001E-2</v>
      </c>
      <c r="L48" s="332">
        <v>1</v>
      </c>
      <c r="M48" s="332"/>
      <c r="N48" s="66">
        <f t="shared" si="4"/>
        <v>21300</v>
      </c>
      <c r="O48" s="64">
        <v>1.8</v>
      </c>
      <c r="P48" s="7">
        <v>2.2000000000000002</v>
      </c>
      <c r="Q48" s="64">
        <v>1.302</v>
      </c>
      <c r="R48" s="7">
        <f t="shared" si="5"/>
        <v>1317853.2</v>
      </c>
      <c r="S48" s="7">
        <f t="shared" si="20"/>
        <v>14232.8</v>
      </c>
      <c r="T48" s="69">
        <f t="shared" si="7"/>
        <v>2E-3</v>
      </c>
      <c r="U48" s="7">
        <v>27093</v>
      </c>
      <c r="V48" s="7">
        <f t="shared" si="8"/>
        <v>59604.6</v>
      </c>
      <c r="W48" s="7">
        <f t="shared" si="9"/>
        <v>18000.599999999999</v>
      </c>
      <c r="X48" s="7">
        <f t="shared" si="10"/>
        <v>931262.3</v>
      </c>
      <c r="Y48" s="7">
        <f t="shared" si="11"/>
        <v>1862.5</v>
      </c>
      <c r="Z48" s="7">
        <f t="shared" si="12"/>
        <v>3219.1</v>
      </c>
      <c r="AA48" s="7">
        <f t="shared" si="13"/>
        <v>670.6</v>
      </c>
      <c r="AB48" s="71">
        <f t="shared" si="14"/>
        <v>19985</v>
      </c>
      <c r="AC48" s="71">
        <f t="shared" si="15"/>
        <v>11758.4</v>
      </c>
      <c r="AD48" s="71">
        <f t="shared" si="16"/>
        <v>8226.6</v>
      </c>
      <c r="AE48" s="78">
        <f t="shared" si="17"/>
        <v>31574</v>
      </c>
      <c r="AF48" s="79">
        <v>22962.45</v>
      </c>
      <c r="AG48" s="79">
        <v>8611.58</v>
      </c>
      <c r="AH48" s="72">
        <f t="shared" si="18"/>
        <v>-11589</v>
      </c>
    </row>
    <row r="49" spans="1:34" hidden="1" x14ac:dyDescent="0.25">
      <c r="A49" s="59">
        <v>118</v>
      </c>
      <c r="B49" s="73" t="s">
        <v>93</v>
      </c>
      <c r="C49" s="333">
        <v>4.67</v>
      </c>
      <c r="D49" s="79">
        <v>0</v>
      </c>
      <c r="E49" s="72">
        <f t="shared" si="21"/>
        <v>4.67</v>
      </c>
      <c r="F49" s="63">
        <v>1.1399999999999999</v>
      </c>
      <c r="G49" s="76">
        <f t="shared" si="19"/>
        <v>5.32</v>
      </c>
      <c r="H49" s="77">
        <v>1980</v>
      </c>
      <c r="I49" s="331">
        <v>1</v>
      </c>
      <c r="J49" s="63">
        <v>1.1000000000000001</v>
      </c>
      <c r="K49" s="332">
        <f t="shared" si="2"/>
        <v>3.0000000000000001E-3</v>
      </c>
      <c r="L49" s="332">
        <v>1</v>
      </c>
      <c r="M49" s="332"/>
      <c r="N49" s="66">
        <f t="shared" si="4"/>
        <v>21300</v>
      </c>
      <c r="O49" s="64">
        <v>1.8</v>
      </c>
      <c r="P49" s="7">
        <v>2.2000000000000002</v>
      </c>
      <c r="Q49" s="64">
        <v>1.302</v>
      </c>
      <c r="R49" s="7">
        <f t="shared" si="5"/>
        <v>1317853.2</v>
      </c>
      <c r="S49" s="7">
        <f t="shared" si="20"/>
        <v>3953.6</v>
      </c>
      <c r="T49" s="69">
        <f t="shared" si="7"/>
        <v>1E-3</v>
      </c>
      <c r="U49" s="7">
        <v>27093</v>
      </c>
      <c r="V49" s="7">
        <f t="shared" si="8"/>
        <v>59604.6</v>
      </c>
      <c r="W49" s="7">
        <f t="shared" si="9"/>
        <v>18000.599999999999</v>
      </c>
      <c r="X49" s="7">
        <f t="shared" si="10"/>
        <v>931262.3</v>
      </c>
      <c r="Y49" s="7">
        <f t="shared" si="11"/>
        <v>931.3</v>
      </c>
      <c r="Z49" s="7">
        <f t="shared" si="12"/>
        <v>977</v>
      </c>
      <c r="AA49" s="7">
        <f t="shared" si="13"/>
        <v>203.5</v>
      </c>
      <c r="AB49" s="71">
        <f t="shared" si="14"/>
        <v>6065.4</v>
      </c>
      <c r="AC49" s="71">
        <f t="shared" si="15"/>
        <v>3568.7</v>
      </c>
      <c r="AD49" s="71">
        <f t="shared" si="16"/>
        <v>2496.6999999999998</v>
      </c>
      <c r="AE49" s="78">
        <f t="shared" si="17"/>
        <v>12278.8</v>
      </c>
      <c r="AF49" s="79">
        <v>8929.84</v>
      </c>
      <c r="AG49" s="79">
        <v>3348.95</v>
      </c>
      <c r="AH49" s="72">
        <f t="shared" si="18"/>
        <v>-6213.4</v>
      </c>
    </row>
    <row r="50" spans="1:34" hidden="1" x14ac:dyDescent="0.25">
      <c r="A50" s="59">
        <v>118</v>
      </c>
      <c r="B50" s="73" t="s">
        <v>94</v>
      </c>
      <c r="C50" s="333">
        <v>10.67</v>
      </c>
      <c r="D50" s="79">
        <v>0</v>
      </c>
      <c r="E50" s="72">
        <f t="shared" si="21"/>
        <v>10.67</v>
      </c>
      <c r="F50" s="63">
        <v>1.1399999999999999</v>
      </c>
      <c r="G50" s="76">
        <f t="shared" si="19"/>
        <v>12.16</v>
      </c>
      <c r="H50" s="77">
        <v>1980</v>
      </c>
      <c r="I50" s="331">
        <v>1</v>
      </c>
      <c r="J50" s="63">
        <v>1.1000000000000001</v>
      </c>
      <c r="K50" s="332">
        <f t="shared" si="2"/>
        <v>6.7999999999999996E-3</v>
      </c>
      <c r="L50" s="332">
        <v>1</v>
      </c>
      <c r="M50" s="332"/>
      <c r="N50" s="66">
        <f t="shared" si="4"/>
        <v>21300</v>
      </c>
      <c r="O50" s="64">
        <v>1.8</v>
      </c>
      <c r="P50" s="7">
        <v>2.2000000000000002</v>
      </c>
      <c r="Q50" s="64">
        <v>1.302</v>
      </c>
      <c r="R50" s="7">
        <f t="shared" si="5"/>
        <v>1317853.2</v>
      </c>
      <c r="S50" s="7">
        <f t="shared" si="20"/>
        <v>8961.4</v>
      </c>
      <c r="T50" s="69">
        <f t="shared" si="7"/>
        <v>1E-3</v>
      </c>
      <c r="U50" s="7">
        <v>27093</v>
      </c>
      <c r="V50" s="7">
        <f t="shared" si="8"/>
        <v>59604.6</v>
      </c>
      <c r="W50" s="7">
        <f t="shared" si="9"/>
        <v>18000.599999999999</v>
      </c>
      <c r="X50" s="7">
        <f t="shared" si="10"/>
        <v>931262.3</v>
      </c>
      <c r="Y50" s="7">
        <f t="shared" si="11"/>
        <v>931.3</v>
      </c>
      <c r="Z50" s="7">
        <f t="shared" si="12"/>
        <v>1978.5</v>
      </c>
      <c r="AA50" s="7">
        <f t="shared" si="13"/>
        <v>412.2</v>
      </c>
      <c r="AB50" s="71">
        <f t="shared" si="14"/>
        <v>12283.4</v>
      </c>
      <c r="AC50" s="71">
        <f t="shared" si="15"/>
        <v>7227.1</v>
      </c>
      <c r="AD50" s="71">
        <f t="shared" si="16"/>
        <v>5056.3</v>
      </c>
      <c r="AE50" s="78">
        <f t="shared" si="17"/>
        <v>21049.4</v>
      </c>
      <c r="AF50" s="79">
        <v>15308.3</v>
      </c>
      <c r="AG50" s="79">
        <v>5741.05</v>
      </c>
      <c r="AH50" s="72">
        <f t="shared" si="18"/>
        <v>-8766</v>
      </c>
    </row>
    <row r="51" spans="1:34" hidden="1" x14ac:dyDescent="0.25">
      <c r="A51" s="59">
        <v>118</v>
      </c>
      <c r="B51" s="73" t="s">
        <v>95</v>
      </c>
      <c r="C51" s="333">
        <v>7.67</v>
      </c>
      <c r="D51" s="79">
        <v>0</v>
      </c>
      <c r="E51" s="72">
        <f t="shared" si="21"/>
        <v>7.67</v>
      </c>
      <c r="F51" s="63">
        <v>1.1399999999999999</v>
      </c>
      <c r="G51" s="76">
        <f t="shared" si="19"/>
        <v>8.74</v>
      </c>
      <c r="H51" s="77">
        <v>1980</v>
      </c>
      <c r="I51" s="331">
        <v>1.079</v>
      </c>
      <c r="J51" s="63">
        <v>1.1000000000000001</v>
      </c>
      <c r="K51" s="332">
        <f t="shared" si="2"/>
        <v>5.1999999999999998E-3</v>
      </c>
      <c r="L51" s="332">
        <v>1</v>
      </c>
      <c r="M51" s="332"/>
      <c r="N51" s="66">
        <f t="shared" si="4"/>
        <v>21300</v>
      </c>
      <c r="O51" s="64">
        <v>1.8</v>
      </c>
      <c r="P51" s="7">
        <v>2.2000000000000002</v>
      </c>
      <c r="Q51" s="64">
        <v>1.302</v>
      </c>
      <c r="R51" s="7">
        <f t="shared" si="5"/>
        <v>1317853.2</v>
      </c>
      <c r="S51" s="7">
        <f t="shared" si="20"/>
        <v>6852.8</v>
      </c>
      <c r="T51" s="69">
        <f t="shared" si="7"/>
        <v>1E-3</v>
      </c>
      <c r="U51" s="7">
        <v>27093</v>
      </c>
      <c r="V51" s="7">
        <f t="shared" si="8"/>
        <v>59604.6</v>
      </c>
      <c r="W51" s="7">
        <f t="shared" si="9"/>
        <v>18000.599999999999</v>
      </c>
      <c r="X51" s="7">
        <f t="shared" si="10"/>
        <v>931262.3</v>
      </c>
      <c r="Y51" s="7">
        <f t="shared" si="11"/>
        <v>931.3</v>
      </c>
      <c r="Z51" s="7">
        <f t="shared" si="12"/>
        <v>1556.8</v>
      </c>
      <c r="AA51" s="7">
        <f t="shared" si="13"/>
        <v>324.3</v>
      </c>
      <c r="AB51" s="71">
        <f t="shared" si="14"/>
        <v>9665.2000000000007</v>
      </c>
      <c r="AC51" s="71">
        <f t="shared" si="15"/>
        <v>5686.6</v>
      </c>
      <c r="AD51" s="71">
        <f t="shared" si="16"/>
        <v>3978.6</v>
      </c>
      <c r="AE51" s="78">
        <f t="shared" si="17"/>
        <v>15787</v>
      </c>
      <c r="AF51" s="79">
        <v>11481.22</v>
      </c>
      <c r="AG51" s="79">
        <v>4305.79</v>
      </c>
      <c r="AH51" s="72">
        <f t="shared" si="18"/>
        <v>-6121.8</v>
      </c>
    </row>
    <row r="52" spans="1:34" hidden="1" x14ac:dyDescent="0.25">
      <c r="A52" s="59">
        <v>118</v>
      </c>
      <c r="B52" s="73" t="s">
        <v>96</v>
      </c>
      <c r="C52" s="333">
        <v>11.33</v>
      </c>
      <c r="D52" s="79">
        <v>0</v>
      </c>
      <c r="E52" s="72">
        <f t="shared" si="21"/>
        <v>11.33</v>
      </c>
      <c r="F52" s="63">
        <v>1.1399999999999999</v>
      </c>
      <c r="G52" s="76">
        <f t="shared" si="19"/>
        <v>12.92</v>
      </c>
      <c r="H52" s="77">
        <v>1980</v>
      </c>
      <c r="I52" s="331">
        <v>1.1339999999999999</v>
      </c>
      <c r="J52" s="63">
        <v>1.1000000000000001</v>
      </c>
      <c r="K52" s="332">
        <f t="shared" si="2"/>
        <v>8.0999999999999996E-3</v>
      </c>
      <c r="L52" s="332">
        <v>1</v>
      </c>
      <c r="M52" s="332"/>
      <c r="N52" s="66">
        <f t="shared" si="4"/>
        <v>21300</v>
      </c>
      <c r="O52" s="64">
        <v>1.8</v>
      </c>
      <c r="P52" s="7">
        <v>2.2000000000000002</v>
      </c>
      <c r="Q52" s="64">
        <v>1.302</v>
      </c>
      <c r="R52" s="7">
        <f t="shared" si="5"/>
        <v>1317853.2</v>
      </c>
      <c r="S52" s="7">
        <f t="shared" si="20"/>
        <v>10674.6</v>
      </c>
      <c r="T52" s="69">
        <f t="shared" si="7"/>
        <v>1E-3</v>
      </c>
      <c r="U52" s="7">
        <v>27093</v>
      </c>
      <c r="V52" s="7">
        <f t="shared" si="8"/>
        <v>59604.6</v>
      </c>
      <c r="W52" s="7">
        <f t="shared" si="9"/>
        <v>18000.599999999999</v>
      </c>
      <c r="X52" s="7">
        <f t="shared" si="10"/>
        <v>931262.3</v>
      </c>
      <c r="Y52" s="7">
        <f t="shared" si="11"/>
        <v>931.3</v>
      </c>
      <c r="Z52" s="7">
        <f t="shared" si="12"/>
        <v>2321.1999999999998</v>
      </c>
      <c r="AA52" s="7">
        <f t="shared" si="13"/>
        <v>483.6</v>
      </c>
      <c r="AB52" s="71">
        <f t="shared" si="14"/>
        <v>14410.7</v>
      </c>
      <c r="AC52" s="71">
        <f t="shared" si="15"/>
        <v>8478.7000000000007</v>
      </c>
      <c r="AD52" s="71">
        <f t="shared" si="16"/>
        <v>5932</v>
      </c>
      <c r="AE52" s="78">
        <f t="shared" si="17"/>
        <v>40344.6</v>
      </c>
      <c r="AF52" s="79">
        <v>29340.9</v>
      </c>
      <c r="AG52" s="79">
        <v>11003.69</v>
      </c>
      <c r="AH52" s="72">
        <f t="shared" si="18"/>
        <v>-25933.9</v>
      </c>
    </row>
    <row r="53" spans="1:34" hidden="1" x14ac:dyDescent="0.25">
      <c r="A53" s="59">
        <v>118</v>
      </c>
      <c r="B53" s="73" t="s">
        <v>97</v>
      </c>
      <c r="C53" s="333">
        <v>141.33000000000001</v>
      </c>
      <c r="D53" s="79">
        <v>0</v>
      </c>
      <c r="E53" s="72">
        <f t="shared" si="21"/>
        <v>141.33000000000001</v>
      </c>
      <c r="F53" s="63">
        <v>1.1399999999999999</v>
      </c>
      <c r="G53" s="76">
        <f t="shared" si="19"/>
        <v>161.12</v>
      </c>
      <c r="H53" s="77">
        <v>1980</v>
      </c>
      <c r="I53" s="331">
        <v>1</v>
      </c>
      <c r="J53" s="63">
        <v>1.1000000000000001</v>
      </c>
      <c r="K53" s="332">
        <f t="shared" si="2"/>
        <v>8.9499999999999996E-2</v>
      </c>
      <c r="L53" s="332">
        <v>1</v>
      </c>
      <c r="M53" s="332"/>
      <c r="N53" s="66">
        <f t="shared" si="4"/>
        <v>21300</v>
      </c>
      <c r="O53" s="64">
        <v>1.8</v>
      </c>
      <c r="P53" s="7">
        <v>2.2000000000000002</v>
      </c>
      <c r="Q53" s="64">
        <v>1.302</v>
      </c>
      <c r="R53" s="7">
        <f t="shared" si="5"/>
        <v>1317853.2</v>
      </c>
      <c r="S53" s="7">
        <f t="shared" si="20"/>
        <v>117947.9</v>
      </c>
      <c r="T53" s="69">
        <f t="shared" si="7"/>
        <v>1.6E-2</v>
      </c>
      <c r="U53" s="7">
        <v>27093</v>
      </c>
      <c r="V53" s="7">
        <f t="shared" si="8"/>
        <v>59604.6</v>
      </c>
      <c r="W53" s="7">
        <f t="shared" si="9"/>
        <v>18000.599999999999</v>
      </c>
      <c r="X53" s="7">
        <f t="shared" si="10"/>
        <v>931262.3</v>
      </c>
      <c r="Y53" s="7">
        <f t="shared" si="11"/>
        <v>14900.2</v>
      </c>
      <c r="Z53" s="7">
        <f t="shared" si="12"/>
        <v>26569.599999999999</v>
      </c>
      <c r="AA53" s="7">
        <f t="shared" si="13"/>
        <v>5535.3</v>
      </c>
      <c r="AB53" s="71">
        <f t="shared" si="14"/>
        <v>164953</v>
      </c>
      <c r="AC53" s="71">
        <f t="shared" si="15"/>
        <v>97052.2</v>
      </c>
      <c r="AD53" s="71">
        <f t="shared" si="16"/>
        <v>67900.800000000003</v>
      </c>
      <c r="AE53" s="78">
        <f t="shared" si="17"/>
        <v>285920.40000000002</v>
      </c>
      <c r="AF53" s="79">
        <v>207937.7</v>
      </c>
      <c r="AG53" s="79">
        <v>77982.649999999994</v>
      </c>
      <c r="AH53" s="72">
        <f t="shared" si="18"/>
        <v>-120967.4</v>
      </c>
    </row>
    <row r="54" spans="1:34" hidden="1" x14ac:dyDescent="0.25">
      <c r="A54" s="59">
        <v>118</v>
      </c>
      <c r="B54" s="73" t="s">
        <v>98</v>
      </c>
      <c r="C54" s="333">
        <v>2.33</v>
      </c>
      <c r="D54" s="79">
        <v>0</v>
      </c>
      <c r="E54" s="72">
        <f t="shared" si="21"/>
        <v>2.33</v>
      </c>
      <c r="F54" s="63">
        <v>1.1399999999999999</v>
      </c>
      <c r="G54" s="76">
        <f t="shared" si="19"/>
        <v>2.66</v>
      </c>
      <c r="H54" s="77">
        <v>1980</v>
      </c>
      <c r="I54" s="331">
        <v>1</v>
      </c>
      <c r="J54" s="63">
        <v>1.1000000000000001</v>
      </c>
      <c r="K54" s="332">
        <f t="shared" si="2"/>
        <v>1.5E-3</v>
      </c>
      <c r="L54" s="332">
        <v>1</v>
      </c>
      <c r="M54" s="332"/>
      <c r="N54" s="66">
        <f t="shared" si="4"/>
        <v>21300</v>
      </c>
      <c r="O54" s="64">
        <v>1.8</v>
      </c>
      <c r="P54" s="7">
        <v>2.2000000000000002</v>
      </c>
      <c r="Q54" s="64">
        <v>1.302</v>
      </c>
      <c r="R54" s="7">
        <f t="shared" si="5"/>
        <v>1317853.2</v>
      </c>
      <c r="S54" s="7">
        <f t="shared" si="20"/>
        <v>1976.8</v>
      </c>
      <c r="T54" s="69">
        <f t="shared" si="7"/>
        <v>0</v>
      </c>
      <c r="U54" s="7">
        <v>27093</v>
      </c>
      <c r="V54" s="7">
        <f t="shared" si="8"/>
        <v>59604.6</v>
      </c>
      <c r="W54" s="7">
        <f t="shared" si="9"/>
        <v>18000.599999999999</v>
      </c>
      <c r="X54" s="7">
        <f t="shared" si="10"/>
        <v>931262.3</v>
      </c>
      <c r="Y54" s="7">
        <f t="shared" si="11"/>
        <v>0</v>
      </c>
      <c r="Z54" s="7">
        <f t="shared" si="12"/>
        <v>395.4</v>
      </c>
      <c r="AA54" s="7">
        <f t="shared" si="13"/>
        <v>82.4</v>
      </c>
      <c r="AB54" s="71">
        <f t="shared" si="14"/>
        <v>2454.6</v>
      </c>
      <c r="AC54" s="71">
        <f t="shared" si="15"/>
        <v>1444.2</v>
      </c>
      <c r="AD54" s="71">
        <f t="shared" si="16"/>
        <v>1010.4</v>
      </c>
      <c r="AE54" s="78">
        <f t="shared" si="17"/>
        <v>5262.3</v>
      </c>
      <c r="AF54" s="79">
        <v>3827.07</v>
      </c>
      <c r="AG54" s="79">
        <v>1435.26</v>
      </c>
      <c r="AH54" s="72">
        <f t="shared" si="18"/>
        <v>-2807.7</v>
      </c>
    </row>
    <row r="55" spans="1:34" s="347" customFormat="1" hidden="1" x14ac:dyDescent="0.25">
      <c r="A55" s="334">
        <v>119</v>
      </c>
      <c r="B55" s="335" t="s">
        <v>99</v>
      </c>
      <c r="C55" s="336">
        <v>176.33</v>
      </c>
      <c r="D55" s="337">
        <v>4204</v>
      </c>
      <c r="E55" s="338">
        <f t="shared" si="21"/>
        <v>4380.33</v>
      </c>
      <c r="F55" s="63">
        <v>1.1399999999999999</v>
      </c>
      <c r="G55" s="339">
        <f t="shared" si="19"/>
        <v>4993.58</v>
      </c>
      <c r="H55" s="340">
        <v>1980</v>
      </c>
      <c r="I55" s="341">
        <v>1.111</v>
      </c>
      <c r="J55" s="342">
        <v>1.1000000000000001</v>
      </c>
      <c r="K55" s="343">
        <f t="shared" si="2"/>
        <v>3.0821000000000001</v>
      </c>
      <c r="L55" s="343">
        <v>3</v>
      </c>
      <c r="M55" s="343">
        <f>K55-L55</f>
        <v>8.2100000000000006E-2</v>
      </c>
      <c r="N55" s="66">
        <f t="shared" si="4"/>
        <v>21300</v>
      </c>
      <c r="O55" s="344">
        <v>1.8</v>
      </c>
      <c r="P55" s="345">
        <v>2.2000000000000002</v>
      </c>
      <c r="Q55" s="344">
        <v>1.302</v>
      </c>
      <c r="R55" s="345">
        <f t="shared" si="5"/>
        <v>1317853.2</v>
      </c>
      <c r="S55" s="345">
        <f t="shared" si="20"/>
        <v>4061755.3</v>
      </c>
      <c r="T55" s="346">
        <f t="shared" si="7"/>
        <v>0.56000000000000005</v>
      </c>
      <c r="U55" s="7">
        <v>27093</v>
      </c>
      <c r="V55" s="7">
        <f t="shared" si="8"/>
        <v>59604.6</v>
      </c>
      <c r="W55" s="345">
        <f t="shared" si="9"/>
        <v>18000.599999999999</v>
      </c>
      <c r="X55" s="7">
        <f t="shared" si="10"/>
        <v>931262.3</v>
      </c>
      <c r="Y55" s="7">
        <f t="shared" si="11"/>
        <v>521506.9</v>
      </c>
      <c r="Z55" s="7">
        <f t="shared" si="12"/>
        <v>916652.4</v>
      </c>
      <c r="AA55" s="7">
        <f t="shared" si="13"/>
        <v>190969.3</v>
      </c>
      <c r="AB55" s="71">
        <f t="shared" si="14"/>
        <v>5690883.9000000004</v>
      </c>
      <c r="AC55" s="71">
        <f t="shared" si="15"/>
        <v>3348305.1</v>
      </c>
      <c r="AD55" s="71">
        <f t="shared" si="16"/>
        <v>2342578.7999999998</v>
      </c>
      <c r="AE55" s="78">
        <f t="shared" si="17"/>
        <v>6829738.5</v>
      </c>
      <c r="AF55" s="337">
        <v>4917800</v>
      </c>
      <c r="AG55" s="337">
        <v>1911938.49</v>
      </c>
      <c r="AH55" s="72">
        <f t="shared" si="18"/>
        <v>-1138854.6000000001</v>
      </c>
    </row>
    <row r="56" spans="1:34" hidden="1" x14ac:dyDescent="0.25">
      <c r="A56" s="59">
        <v>119</v>
      </c>
      <c r="B56" s="73" t="s">
        <v>100</v>
      </c>
      <c r="C56" s="333">
        <v>27</v>
      </c>
      <c r="D56" s="79">
        <v>0</v>
      </c>
      <c r="E56" s="72">
        <f t="shared" si="21"/>
        <v>27</v>
      </c>
      <c r="F56" s="63">
        <v>1.1399999999999999</v>
      </c>
      <c r="G56" s="76">
        <f t="shared" si="19"/>
        <v>30.78</v>
      </c>
      <c r="H56" s="77">
        <v>1980</v>
      </c>
      <c r="I56" s="331">
        <v>1.1439999999999999</v>
      </c>
      <c r="J56" s="63">
        <v>1.1000000000000001</v>
      </c>
      <c r="K56" s="332">
        <f t="shared" si="2"/>
        <v>1.9599999999999999E-2</v>
      </c>
      <c r="L56" s="332">
        <v>1</v>
      </c>
      <c r="M56" s="332"/>
      <c r="N56" s="66">
        <f t="shared" si="4"/>
        <v>21300</v>
      </c>
      <c r="O56" s="64">
        <v>1.8</v>
      </c>
      <c r="P56" s="7">
        <v>2.2000000000000002</v>
      </c>
      <c r="Q56" s="64">
        <v>1.302</v>
      </c>
      <c r="R56" s="7">
        <f t="shared" si="5"/>
        <v>1317853.2</v>
      </c>
      <c r="S56" s="7">
        <f t="shared" si="20"/>
        <v>25829.9</v>
      </c>
      <c r="T56" s="69">
        <f t="shared" si="7"/>
        <v>4.0000000000000001E-3</v>
      </c>
      <c r="U56" s="7">
        <v>27093</v>
      </c>
      <c r="V56" s="7">
        <f t="shared" si="8"/>
        <v>59604.6</v>
      </c>
      <c r="W56" s="7">
        <f t="shared" si="9"/>
        <v>18000.599999999999</v>
      </c>
      <c r="X56" s="7">
        <f t="shared" si="10"/>
        <v>931262.3</v>
      </c>
      <c r="Y56" s="7">
        <f t="shared" si="11"/>
        <v>3725</v>
      </c>
      <c r="Z56" s="7">
        <f t="shared" si="12"/>
        <v>5911</v>
      </c>
      <c r="AA56" s="7">
        <f t="shared" si="13"/>
        <v>1231.5</v>
      </c>
      <c r="AB56" s="71">
        <f t="shared" si="14"/>
        <v>36697.4</v>
      </c>
      <c r="AC56" s="71">
        <f t="shared" si="15"/>
        <v>21591.4</v>
      </c>
      <c r="AD56" s="71">
        <f t="shared" si="16"/>
        <v>15106</v>
      </c>
      <c r="AE56" s="78">
        <f t="shared" si="17"/>
        <v>49115.199999999997</v>
      </c>
      <c r="AF56" s="79">
        <v>35719.360000000001</v>
      </c>
      <c r="AG56" s="79">
        <v>13395.79</v>
      </c>
      <c r="AH56" s="72">
        <f t="shared" si="18"/>
        <v>-12417.8</v>
      </c>
    </row>
    <row r="57" spans="1:34" hidden="1" x14ac:dyDescent="0.25">
      <c r="A57" s="59">
        <v>119</v>
      </c>
      <c r="B57" s="73" t="s">
        <v>101</v>
      </c>
      <c r="C57" s="333">
        <v>35.67</v>
      </c>
      <c r="D57" s="79">
        <v>0</v>
      </c>
      <c r="E57" s="72">
        <f t="shared" si="21"/>
        <v>35.67</v>
      </c>
      <c r="F57" s="63">
        <v>1.1399999999999999</v>
      </c>
      <c r="G57" s="76">
        <f t="shared" si="19"/>
        <v>40.659999999999997</v>
      </c>
      <c r="H57" s="77">
        <v>1980</v>
      </c>
      <c r="I57" s="331">
        <v>1.998</v>
      </c>
      <c r="J57" s="63">
        <v>1.1000000000000001</v>
      </c>
      <c r="K57" s="332">
        <f t="shared" si="2"/>
        <v>4.5100000000000001E-2</v>
      </c>
      <c r="L57" s="332">
        <v>1</v>
      </c>
      <c r="M57" s="332"/>
      <c r="N57" s="66">
        <f t="shared" si="4"/>
        <v>21300</v>
      </c>
      <c r="O57" s="64">
        <v>1.8</v>
      </c>
      <c r="P57" s="7">
        <v>2.2000000000000002</v>
      </c>
      <c r="Q57" s="64">
        <v>1.302</v>
      </c>
      <c r="R57" s="7">
        <f t="shared" si="5"/>
        <v>1317853.2</v>
      </c>
      <c r="S57" s="7">
        <f t="shared" si="20"/>
        <v>59435.199999999997</v>
      </c>
      <c r="T57" s="69">
        <f t="shared" si="7"/>
        <v>8.0000000000000002E-3</v>
      </c>
      <c r="U57" s="7">
        <v>27093</v>
      </c>
      <c r="V57" s="7">
        <f t="shared" si="8"/>
        <v>59604.6</v>
      </c>
      <c r="W57" s="7">
        <f t="shared" si="9"/>
        <v>18000.599999999999</v>
      </c>
      <c r="X57" s="7">
        <f t="shared" si="10"/>
        <v>931262.3</v>
      </c>
      <c r="Y57" s="7">
        <f t="shared" si="11"/>
        <v>7450.1</v>
      </c>
      <c r="Z57" s="7">
        <f t="shared" si="12"/>
        <v>13377.1</v>
      </c>
      <c r="AA57" s="7">
        <f t="shared" si="13"/>
        <v>2786.9</v>
      </c>
      <c r="AB57" s="71">
        <f t="shared" si="14"/>
        <v>83049.3</v>
      </c>
      <c r="AC57" s="71">
        <f t="shared" si="15"/>
        <v>48863.1</v>
      </c>
      <c r="AD57" s="71">
        <f t="shared" si="16"/>
        <v>34186.199999999997</v>
      </c>
      <c r="AE57" s="78">
        <f t="shared" si="17"/>
        <v>71918.600000000006</v>
      </c>
      <c r="AF57" s="79">
        <v>52303.35</v>
      </c>
      <c r="AG57" s="79">
        <v>19615.27</v>
      </c>
      <c r="AH57" s="72">
        <f t="shared" si="18"/>
        <v>11130.7</v>
      </c>
    </row>
    <row r="58" spans="1:34" hidden="1" x14ac:dyDescent="0.25">
      <c r="A58" s="59">
        <v>119</v>
      </c>
      <c r="B58" s="73" t="s">
        <v>102</v>
      </c>
      <c r="C58" s="333">
        <v>70.67</v>
      </c>
      <c r="D58" s="79">
        <v>0</v>
      </c>
      <c r="E58" s="72">
        <f t="shared" si="21"/>
        <v>70.67</v>
      </c>
      <c r="F58" s="63">
        <v>1.1399999999999999</v>
      </c>
      <c r="G58" s="76">
        <f t="shared" si="19"/>
        <v>80.56</v>
      </c>
      <c r="H58" s="77">
        <v>1980</v>
      </c>
      <c r="I58" s="331">
        <v>1.2150000000000001</v>
      </c>
      <c r="J58" s="63">
        <v>1.1000000000000001</v>
      </c>
      <c r="K58" s="332">
        <f t="shared" si="2"/>
        <v>5.4399999999999997E-2</v>
      </c>
      <c r="L58" s="332">
        <v>1</v>
      </c>
      <c r="M58" s="332"/>
      <c r="N58" s="66">
        <f t="shared" si="4"/>
        <v>21300</v>
      </c>
      <c r="O58" s="64">
        <v>1.8</v>
      </c>
      <c r="P58" s="7">
        <v>2.2000000000000002</v>
      </c>
      <c r="Q58" s="64">
        <v>1.302</v>
      </c>
      <c r="R58" s="7">
        <f t="shared" si="5"/>
        <v>1317853.2</v>
      </c>
      <c r="S58" s="7">
        <f t="shared" si="20"/>
        <v>71691.199999999997</v>
      </c>
      <c r="T58" s="69">
        <f t="shared" si="7"/>
        <v>0.01</v>
      </c>
      <c r="U58" s="7">
        <v>27093</v>
      </c>
      <c r="V58" s="7">
        <f t="shared" si="8"/>
        <v>59604.6</v>
      </c>
      <c r="W58" s="7">
        <f t="shared" si="9"/>
        <v>18000.599999999999</v>
      </c>
      <c r="X58" s="7">
        <f t="shared" si="10"/>
        <v>931262.3</v>
      </c>
      <c r="Y58" s="7">
        <f t="shared" si="11"/>
        <v>9312.6</v>
      </c>
      <c r="Z58" s="7">
        <f t="shared" si="12"/>
        <v>16200.8</v>
      </c>
      <c r="AA58" s="7">
        <f t="shared" si="13"/>
        <v>3375.2</v>
      </c>
      <c r="AB58" s="71">
        <f t="shared" si="14"/>
        <v>100579.8</v>
      </c>
      <c r="AC58" s="71">
        <f t="shared" si="15"/>
        <v>59177.4</v>
      </c>
      <c r="AD58" s="71">
        <f t="shared" si="16"/>
        <v>41402.400000000001</v>
      </c>
      <c r="AE58" s="78">
        <f t="shared" si="17"/>
        <v>138574.9</v>
      </c>
      <c r="AF58" s="79">
        <v>100779.62</v>
      </c>
      <c r="AG58" s="79">
        <v>37795.269999999997</v>
      </c>
      <c r="AH58" s="72">
        <f t="shared" si="18"/>
        <v>-37995.1</v>
      </c>
    </row>
    <row r="59" spans="1:34" hidden="1" x14ac:dyDescent="0.25">
      <c r="A59" s="59">
        <v>119</v>
      </c>
      <c r="B59" s="73" t="s">
        <v>103</v>
      </c>
      <c r="C59" s="333">
        <v>234.33</v>
      </c>
      <c r="D59" s="79">
        <v>0</v>
      </c>
      <c r="E59" s="72">
        <f t="shared" si="21"/>
        <v>234.33</v>
      </c>
      <c r="F59" s="63">
        <v>1.1399999999999999</v>
      </c>
      <c r="G59" s="76">
        <f t="shared" si="19"/>
        <v>267.14</v>
      </c>
      <c r="H59" s="77">
        <v>1980</v>
      </c>
      <c r="I59" s="331">
        <v>1</v>
      </c>
      <c r="J59" s="63">
        <v>1.1000000000000001</v>
      </c>
      <c r="K59" s="332">
        <f t="shared" si="2"/>
        <v>0.1484</v>
      </c>
      <c r="L59" s="332">
        <v>1</v>
      </c>
      <c r="M59" s="332"/>
      <c r="N59" s="66">
        <f t="shared" si="4"/>
        <v>21300</v>
      </c>
      <c r="O59" s="64">
        <v>1.8</v>
      </c>
      <c r="P59" s="7">
        <v>2.2000000000000002</v>
      </c>
      <c r="Q59" s="64">
        <v>1.302</v>
      </c>
      <c r="R59" s="7">
        <f t="shared" si="5"/>
        <v>1317853.2</v>
      </c>
      <c r="S59" s="7">
        <f t="shared" si="20"/>
        <v>195569.4</v>
      </c>
      <c r="T59" s="69">
        <f t="shared" si="7"/>
        <v>2.7E-2</v>
      </c>
      <c r="U59" s="7">
        <v>27093</v>
      </c>
      <c r="V59" s="7">
        <f t="shared" si="8"/>
        <v>59604.6</v>
      </c>
      <c r="W59" s="7">
        <f t="shared" si="9"/>
        <v>18000.599999999999</v>
      </c>
      <c r="X59" s="7">
        <f t="shared" si="10"/>
        <v>931262.3</v>
      </c>
      <c r="Y59" s="7">
        <f t="shared" si="11"/>
        <v>25144.1</v>
      </c>
      <c r="Z59" s="7">
        <f t="shared" si="12"/>
        <v>44142.7</v>
      </c>
      <c r="AA59" s="7">
        <f t="shared" si="13"/>
        <v>9196.4</v>
      </c>
      <c r="AB59" s="71">
        <f t="shared" si="14"/>
        <v>274052.59999999998</v>
      </c>
      <c r="AC59" s="71">
        <f t="shared" si="15"/>
        <v>161242.4</v>
      </c>
      <c r="AD59" s="71">
        <f t="shared" si="16"/>
        <v>112810.2</v>
      </c>
      <c r="AE59" s="78">
        <f t="shared" si="17"/>
        <v>438528.2</v>
      </c>
      <c r="AF59" s="79">
        <v>318922.84999999998</v>
      </c>
      <c r="AG59" s="79">
        <v>119605.3</v>
      </c>
      <c r="AH59" s="72">
        <f t="shared" si="18"/>
        <v>-164475.6</v>
      </c>
    </row>
    <row r="60" spans="1:34" hidden="1" x14ac:dyDescent="0.25">
      <c r="A60" s="59">
        <v>119</v>
      </c>
      <c r="B60" s="73" t="s">
        <v>104</v>
      </c>
      <c r="C60" s="333">
        <v>30.67</v>
      </c>
      <c r="D60" s="79">
        <v>0</v>
      </c>
      <c r="E60" s="72">
        <f t="shared" si="21"/>
        <v>30.67</v>
      </c>
      <c r="F60" s="63">
        <v>1.1399999999999999</v>
      </c>
      <c r="G60" s="76">
        <f t="shared" si="19"/>
        <v>34.96</v>
      </c>
      <c r="H60" s="77">
        <v>1980</v>
      </c>
      <c r="I60" s="331">
        <v>1</v>
      </c>
      <c r="J60" s="63">
        <v>1.1000000000000001</v>
      </c>
      <c r="K60" s="332">
        <f t="shared" si="2"/>
        <v>1.9400000000000001E-2</v>
      </c>
      <c r="L60" s="332">
        <v>1</v>
      </c>
      <c r="M60" s="332"/>
      <c r="N60" s="66">
        <f t="shared" si="4"/>
        <v>21300</v>
      </c>
      <c r="O60" s="64">
        <v>1.8</v>
      </c>
      <c r="P60" s="7">
        <v>2.2000000000000002</v>
      </c>
      <c r="Q60" s="64">
        <v>1.302</v>
      </c>
      <c r="R60" s="7">
        <f t="shared" si="5"/>
        <v>1317853.2</v>
      </c>
      <c r="S60" s="7">
        <f t="shared" si="20"/>
        <v>25566.400000000001</v>
      </c>
      <c r="T60" s="69">
        <f t="shared" si="7"/>
        <v>4.0000000000000001E-3</v>
      </c>
      <c r="U60" s="7">
        <v>27093</v>
      </c>
      <c r="V60" s="7">
        <f t="shared" si="8"/>
        <v>59604.6</v>
      </c>
      <c r="W60" s="7">
        <f t="shared" si="9"/>
        <v>18000.599999999999</v>
      </c>
      <c r="X60" s="7">
        <f t="shared" si="10"/>
        <v>931262.3</v>
      </c>
      <c r="Y60" s="7">
        <f t="shared" si="11"/>
        <v>3725</v>
      </c>
      <c r="Z60" s="7">
        <f t="shared" si="12"/>
        <v>5858.3</v>
      </c>
      <c r="AA60" s="7">
        <f t="shared" si="13"/>
        <v>1220.5</v>
      </c>
      <c r="AB60" s="71">
        <f t="shared" si="14"/>
        <v>36370.199999999997</v>
      </c>
      <c r="AC60" s="71">
        <f t="shared" si="15"/>
        <v>21398.9</v>
      </c>
      <c r="AD60" s="71">
        <f t="shared" si="16"/>
        <v>14971.3</v>
      </c>
      <c r="AE60" s="78">
        <f t="shared" si="17"/>
        <v>59639.8</v>
      </c>
      <c r="AF60" s="79">
        <v>43373.51</v>
      </c>
      <c r="AG60" s="79">
        <v>16266.32</v>
      </c>
      <c r="AH60" s="72">
        <f t="shared" si="18"/>
        <v>-23269.599999999999</v>
      </c>
    </row>
    <row r="61" spans="1:34" hidden="1" x14ac:dyDescent="0.25">
      <c r="A61" s="59">
        <v>119</v>
      </c>
      <c r="B61" s="73" t="s">
        <v>105</v>
      </c>
      <c r="C61" s="333">
        <v>86.67</v>
      </c>
      <c r="D61" s="79">
        <v>0</v>
      </c>
      <c r="E61" s="72">
        <f t="shared" si="21"/>
        <v>86.67</v>
      </c>
      <c r="F61" s="63">
        <v>1.1399999999999999</v>
      </c>
      <c r="G61" s="76">
        <f t="shared" si="19"/>
        <v>98.8</v>
      </c>
      <c r="H61" s="77">
        <v>1980</v>
      </c>
      <c r="I61" s="331">
        <v>1</v>
      </c>
      <c r="J61" s="63">
        <v>1.1000000000000001</v>
      </c>
      <c r="K61" s="332">
        <f t="shared" si="2"/>
        <v>5.4899999999999997E-2</v>
      </c>
      <c r="L61" s="332">
        <v>1</v>
      </c>
      <c r="M61" s="332"/>
      <c r="N61" s="66">
        <f t="shared" si="4"/>
        <v>21300</v>
      </c>
      <c r="O61" s="64">
        <v>1.8</v>
      </c>
      <c r="P61" s="7">
        <v>2.2000000000000002</v>
      </c>
      <c r="Q61" s="64">
        <v>1.302</v>
      </c>
      <c r="R61" s="7">
        <f t="shared" si="5"/>
        <v>1317853.2</v>
      </c>
      <c r="S61" s="7">
        <f t="shared" si="20"/>
        <v>72350.100000000006</v>
      </c>
      <c r="T61" s="69">
        <f t="shared" si="7"/>
        <v>0.01</v>
      </c>
      <c r="U61" s="7">
        <v>27093</v>
      </c>
      <c r="V61" s="7">
        <f t="shared" si="8"/>
        <v>59604.6</v>
      </c>
      <c r="W61" s="7">
        <f t="shared" si="9"/>
        <v>18000.599999999999</v>
      </c>
      <c r="X61" s="7">
        <f t="shared" si="10"/>
        <v>931262.3</v>
      </c>
      <c r="Y61" s="7">
        <f t="shared" si="11"/>
        <v>9312.6</v>
      </c>
      <c r="Z61" s="7">
        <f t="shared" si="12"/>
        <v>16332.5</v>
      </c>
      <c r="AA61" s="7">
        <f t="shared" si="13"/>
        <v>3402.6</v>
      </c>
      <c r="AB61" s="71">
        <f t="shared" si="14"/>
        <v>101397.8</v>
      </c>
      <c r="AC61" s="71">
        <f t="shared" si="15"/>
        <v>59658.7</v>
      </c>
      <c r="AD61" s="71">
        <f t="shared" si="16"/>
        <v>41739.1</v>
      </c>
      <c r="AE61" s="78">
        <f t="shared" si="17"/>
        <v>163132.5</v>
      </c>
      <c r="AF61" s="79">
        <v>118639.3</v>
      </c>
      <c r="AG61" s="79">
        <v>44493.17</v>
      </c>
      <c r="AH61" s="72">
        <f t="shared" si="18"/>
        <v>-61734.7</v>
      </c>
    </row>
    <row r="62" spans="1:34" hidden="1" x14ac:dyDescent="0.25">
      <c r="A62" s="59">
        <v>119</v>
      </c>
      <c r="B62" s="73" t="s">
        <v>106</v>
      </c>
      <c r="C62" s="333">
        <v>107.67</v>
      </c>
      <c r="D62" s="79">
        <v>0</v>
      </c>
      <c r="E62" s="72">
        <f t="shared" si="21"/>
        <v>107.67</v>
      </c>
      <c r="F62" s="63">
        <v>1.1399999999999999</v>
      </c>
      <c r="G62" s="76">
        <f t="shared" si="19"/>
        <v>122.74</v>
      </c>
      <c r="H62" s="77">
        <v>1980</v>
      </c>
      <c r="I62" s="331">
        <v>1</v>
      </c>
      <c r="J62" s="63">
        <v>1.1000000000000001</v>
      </c>
      <c r="K62" s="332">
        <f t="shared" si="2"/>
        <v>6.8199999999999997E-2</v>
      </c>
      <c r="L62" s="332">
        <v>1</v>
      </c>
      <c r="M62" s="332"/>
      <c r="N62" s="66">
        <f t="shared" si="4"/>
        <v>21300</v>
      </c>
      <c r="O62" s="64">
        <v>1.8</v>
      </c>
      <c r="P62" s="7">
        <v>2.2000000000000002</v>
      </c>
      <c r="Q62" s="64">
        <v>1.302</v>
      </c>
      <c r="R62" s="7">
        <f t="shared" si="5"/>
        <v>1317853.2</v>
      </c>
      <c r="S62" s="7">
        <f t="shared" si="20"/>
        <v>89877.6</v>
      </c>
      <c r="T62" s="69">
        <f t="shared" si="7"/>
        <v>1.2E-2</v>
      </c>
      <c r="U62" s="7">
        <v>27093</v>
      </c>
      <c r="V62" s="7">
        <f t="shared" si="8"/>
        <v>59604.6</v>
      </c>
      <c r="W62" s="7">
        <f t="shared" si="9"/>
        <v>18000.599999999999</v>
      </c>
      <c r="X62" s="7">
        <f t="shared" si="10"/>
        <v>931262.3</v>
      </c>
      <c r="Y62" s="7">
        <f t="shared" si="11"/>
        <v>11175.1</v>
      </c>
      <c r="Z62" s="7">
        <f t="shared" si="12"/>
        <v>20210.5</v>
      </c>
      <c r="AA62" s="7">
        <f t="shared" si="13"/>
        <v>4210.5</v>
      </c>
      <c r="AB62" s="71">
        <f t="shared" si="14"/>
        <v>125473.7</v>
      </c>
      <c r="AC62" s="71">
        <f t="shared" si="15"/>
        <v>73824.100000000006</v>
      </c>
      <c r="AD62" s="71">
        <f t="shared" si="16"/>
        <v>51649.599999999999</v>
      </c>
      <c r="AE62" s="78">
        <f t="shared" si="17"/>
        <v>205231.2</v>
      </c>
      <c r="AF62" s="79">
        <v>149255.89000000001</v>
      </c>
      <c r="AG62" s="79">
        <v>55975.28</v>
      </c>
      <c r="AH62" s="72">
        <f t="shared" si="18"/>
        <v>-79757.5</v>
      </c>
    </row>
    <row r="63" spans="1:34" hidden="1" x14ac:dyDescent="0.25">
      <c r="A63" s="59">
        <v>119</v>
      </c>
      <c r="B63" s="73" t="s">
        <v>107</v>
      </c>
      <c r="C63" s="333">
        <v>20.329999999999998</v>
      </c>
      <c r="D63" s="79">
        <v>0</v>
      </c>
      <c r="E63" s="72">
        <f t="shared" si="21"/>
        <v>20.329999999999998</v>
      </c>
      <c r="F63" s="63">
        <v>1.1399999999999999</v>
      </c>
      <c r="G63" s="76">
        <f t="shared" si="19"/>
        <v>23.18</v>
      </c>
      <c r="H63" s="77">
        <v>1980</v>
      </c>
      <c r="I63" s="331">
        <v>1</v>
      </c>
      <c r="J63" s="63">
        <v>1.1000000000000001</v>
      </c>
      <c r="K63" s="332">
        <f t="shared" si="2"/>
        <v>1.29E-2</v>
      </c>
      <c r="L63" s="332">
        <v>1</v>
      </c>
      <c r="M63" s="332"/>
      <c r="N63" s="66">
        <f t="shared" si="4"/>
        <v>21300</v>
      </c>
      <c r="O63" s="64">
        <v>1.8</v>
      </c>
      <c r="P63" s="7">
        <v>2.2000000000000002</v>
      </c>
      <c r="Q63" s="64">
        <v>1.302</v>
      </c>
      <c r="R63" s="7">
        <f t="shared" si="5"/>
        <v>1317853.2</v>
      </c>
      <c r="S63" s="7">
        <f t="shared" si="20"/>
        <v>17000.3</v>
      </c>
      <c r="T63" s="69">
        <f t="shared" si="7"/>
        <v>2E-3</v>
      </c>
      <c r="U63" s="7">
        <v>27093</v>
      </c>
      <c r="V63" s="7">
        <f t="shared" si="8"/>
        <v>59604.6</v>
      </c>
      <c r="W63" s="7">
        <f t="shared" si="9"/>
        <v>18000.599999999999</v>
      </c>
      <c r="X63" s="7">
        <f t="shared" si="10"/>
        <v>931262.3</v>
      </c>
      <c r="Y63" s="7">
        <f t="shared" si="11"/>
        <v>1862.5</v>
      </c>
      <c r="Z63" s="7">
        <f t="shared" si="12"/>
        <v>3772.6</v>
      </c>
      <c r="AA63" s="7">
        <f t="shared" si="13"/>
        <v>786</v>
      </c>
      <c r="AB63" s="71">
        <f t="shared" si="14"/>
        <v>23421.4</v>
      </c>
      <c r="AC63" s="71">
        <f t="shared" si="15"/>
        <v>13780.3</v>
      </c>
      <c r="AD63" s="71">
        <f t="shared" si="16"/>
        <v>9641.1</v>
      </c>
      <c r="AE63" s="78">
        <f t="shared" si="17"/>
        <v>36836.400000000001</v>
      </c>
      <c r="AF63" s="79">
        <v>26789.52</v>
      </c>
      <c r="AG63" s="79">
        <v>10046.84</v>
      </c>
      <c r="AH63" s="72">
        <f t="shared" si="18"/>
        <v>-13415</v>
      </c>
    </row>
    <row r="64" spans="1:34" s="347" customFormat="1" hidden="1" x14ac:dyDescent="0.25">
      <c r="A64" s="334">
        <v>120</v>
      </c>
      <c r="B64" s="335" t="s">
        <v>108</v>
      </c>
      <c r="C64" s="336">
        <v>1176.67</v>
      </c>
      <c r="D64" s="337">
        <v>7195.33</v>
      </c>
      <c r="E64" s="338">
        <f t="shared" si="21"/>
        <v>8372</v>
      </c>
      <c r="F64" s="63">
        <v>1.1399999999999999</v>
      </c>
      <c r="G64" s="339">
        <f t="shared" si="19"/>
        <v>9544.08</v>
      </c>
      <c r="H64" s="340">
        <v>1980</v>
      </c>
      <c r="I64" s="341">
        <v>1</v>
      </c>
      <c r="J64" s="342">
        <v>1.1000000000000001</v>
      </c>
      <c r="K64" s="343">
        <f t="shared" si="2"/>
        <v>5.3022999999999998</v>
      </c>
      <c r="L64" s="343">
        <v>4</v>
      </c>
      <c r="M64" s="343">
        <f>K64-L64</f>
        <v>1.3023</v>
      </c>
      <c r="N64" s="66">
        <f t="shared" si="4"/>
        <v>21300</v>
      </c>
      <c r="O64" s="344">
        <v>1.8</v>
      </c>
      <c r="P64" s="345">
        <v>2.2000000000000002</v>
      </c>
      <c r="Q64" s="344">
        <v>1.302</v>
      </c>
      <c r="R64" s="345">
        <f t="shared" si="5"/>
        <v>1317853.2</v>
      </c>
      <c r="S64" s="345">
        <f t="shared" si="20"/>
        <v>6987653</v>
      </c>
      <c r="T64" s="346">
        <f t="shared" si="7"/>
        <v>0.96399999999999997</v>
      </c>
      <c r="U64" s="7">
        <v>27093</v>
      </c>
      <c r="V64" s="7">
        <f t="shared" si="8"/>
        <v>59604.6</v>
      </c>
      <c r="W64" s="345">
        <f t="shared" si="9"/>
        <v>18000.599999999999</v>
      </c>
      <c r="X64" s="7">
        <f t="shared" si="10"/>
        <v>931262.3</v>
      </c>
      <c r="Y64" s="7">
        <f t="shared" si="11"/>
        <v>897736.9</v>
      </c>
      <c r="Z64" s="7">
        <f t="shared" si="12"/>
        <v>1577078</v>
      </c>
      <c r="AA64" s="7">
        <f t="shared" si="13"/>
        <v>328557.90000000002</v>
      </c>
      <c r="AB64" s="71">
        <f t="shared" si="14"/>
        <v>9791025.8000000007</v>
      </c>
      <c r="AC64" s="71">
        <f t="shared" si="15"/>
        <v>5760676.5</v>
      </c>
      <c r="AD64" s="71">
        <f t="shared" si="16"/>
        <v>4030349.3</v>
      </c>
      <c r="AE64" s="78">
        <f t="shared" si="17"/>
        <v>8389458.4000000004</v>
      </c>
      <c r="AF64" s="337">
        <v>6040887.04</v>
      </c>
      <c r="AG64" s="337">
        <v>2348571.37</v>
      </c>
      <c r="AH64" s="72">
        <f t="shared" si="18"/>
        <v>1401567.4</v>
      </c>
    </row>
    <row r="65" spans="1:34" hidden="1" x14ac:dyDescent="0.25">
      <c r="A65" s="59">
        <v>120</v>
      </c>
      <c r="B65" s="73" t="s">
        <v>109</v>
      </c>
      <c r="C65" s="333">
        <v>17.329999999999998</v>
      </c>
      <c r="D65" s="79">
        <v>0</v>
      </c>
      <c r="E65" s="72">
        <f t="shared" si="21"/>
        <v>17.329999999999998</v>
      </c>
      <c r="F65" s="63">
        <v>1.1399999999999999</v>
      </c>
      <c r="G65" s="76">
        <f t="shared" si="19"/>
        <v>19.760000000000002</v>
      </c>
      <c r="H65" s="77">
        <v>1980</v>
      </c>
      <c r="I65" s="331">
        <v>1</v>
      </c>
      <c r="J65" s="63">
        <v>1.1000000000000001</v>
      </c>
      <c r="K65" s="332">
        <f t="shared" si="2"/>
        <v>1.0999999999999999E-2</v>
      </c>
      <c r="L65" s="332">
        <v>1</v>
      </c>
      <c r="M65" s="332"/>
      <c r="N65" s="66">
        <f t="shared" si="4"/>
        <v>21300</v>
      </c>
      <c r="O65" s="64">
        <v>1.8</v>
      </c>
      <c r="P65" s="7">
        <v>2.2000000000000002</v>
      </c>
      <c r="Q65" s="64">
        <v>1.302</v>
      </c>
      <c r="R65" s="7">
        <f t="shared" si="5"/>
        <v>1317853.2</v>
      </c>
      <c r="S65" s="7">
        <f t="shared" si="20"/>
        <v>14496.4</v>
      </c>
      <c r="T65" s="69">
        <f t="shared" si="7"/>
        <v>2E-3</v>
      </c>
      <c r="U65" s="7">
        <v>27093</v>
      </c>
      <c r="V65" s="7">
        <f t="shared" si="8"/>
        <v>59604.6</v>
      </c>
      <c r="W65" s="7">
        <f t="shared" si="9"/>
        <v>18000.599999999999</v>
      </c>
      <c r="X65" s="7">
        <f t="shared" si="10"/>
        <v>931262.3</v>
      </c>
      <c r="Y65" s="7">
        <f t="shared" si="11"/>
        <v>1862.5</v>
      </c>
      <c r="Z65" s="7">
        <f t="shared" si="12"/>
        <v>3271.8</v>
      </c>
      <c r="AA65" s="7">
        <f t="shared" si="13"/>
        <v>681.6</v>
      </c>
      <c r="AB65" s="71">
        <f t="shared" si="14"/>
        <v>20312.3</v>
      </c>
      <c r="AC65" s="71">
        <f t="shared" si="15"/>
        <v>11951</v>
      </c>
      <c r="AD65" s="71">
        <f t="shared" si="16"/>
        <v>8361.2999999999993</v>
      </c>
      <c r="AE65" s="78">
        <f t="shared" si="17"/>
        <v>35082.300000000003</v>
      </c>
      <c r="AF65" s="79">
        <v>25513.83</v>
      </c>
      <c r="AG65" s="79">
        <v>9568.42</v>
      </c>
      <c r="AH65" s="72">
        <f t="shared" si="18"/>
        <v>-14770</v>
      </c>
    </row>
    <row r="66" spans="1:34" hidden="1" x14ac:dyDescent="0.25">
      <c r="A66" s="59">
        <v>120</v>
      </c>
      <c r="B66" s="73" t="s">
        <v>110</v>
      </c>
      <c r="C66" s="333">
        <v>36.67</v>
      </c>
      <c r="D66" s="79">
        <v>0</v>
      </c>
      <c r="E66" s="72">
        <f t="shared" si="21"/>
        <v>36.67</v>
      </c>
      <c r="F66" s="63">
        <v>1.1399999999999999</v>
      </c>
      <c r="G66" s="76">
        <f t="shared" si="19"/>
        <v>41.8</v>
      </c>
      <c r="H66" s="77">
        <v>1980</v>
      </c>
      <c r="I66" s="331">
        <v>1</v>
      </c>
      <c r="J66" s="63">
        <v>1.1000000000000001</v>
      </c>
      <c r="K66" s="332">
        <f t="shared" si="2"/>
        <v>2.3199999999999998E-2</v>
      </c>
      <c r="L66" s="332">
        <v>1</v>
      </c>
      <c r="M66" s="332"/>
      <c r="N66" s="66">
        <f t="shared" si="4"/>
        <v>21300</v>
      </c>
      <c r="O66" s="64">
        <v>1.8</v>
      </c>
      <c r="P66" s="7">
        <v>2.2000000000000002</v>
      </c>
      <c r="Q66" s="64">
        <v>1.302</v>
      </c>
      <c r="R66" s="7">
        <f t="shared" si="5"/>
        <v>1317853.2</v>
      </c>
      <c r="S66" s="7">
        <f t="shared" si="20"/>
        <v>30574.2</v>
      </c>
      <c r="T66" s="69">
        <f t="shared" si="7"/>
        <v>4.0000000000000001E-3</v>
      </c>
      <c r="U66" s="7">
        <v>27093</v>
      </c>
      <c r="V66" s="7">
        <f t="shared" si="8"/>
        <v>59604.6</v>
      </c>
      <c r="W66" s="7">
        <f t="shared" si="9"/>
        <v>18000.599999999999</v>
      </c>
      <c r="X66" s="7">
        <f t="shared" si="10"/>
        <v>931262.3</v>
      </c>
      <c r="Y66" s="7">
        <f t="shared" si="11"/>
        <v>3725</v>
      </c>
      <c r="Z66" s="7">
        <f t="shared" si="12"/>
        <v>6859.8</v>
      </c>
      <c r="AA66" s="7">
        <f t="shared" si="13"/>
        <v>1429.1</v>
      </c>
      <c r="AB66" s="71">
        <f t="shared" si="14"/>
        <v>42588.1</v>
      </c>
      <c r="AC66" s="71">
        <f t="shared" si="15"/>
        <v>25057.3</v>
      </c>
      <c r="AD66" s="71">
        <f t="shared" si="16"/>
        <v>17530.8</v>
      </c>
      <c r="AE66" s="78">
        <f t="shared" si="17"/>
        <v>71918.600000000006</v>
      </c>
      <c r="AF66" s="79">
        <v>52303.35</v>
      </c>
      <c r="AG66" s="79">
        <v>19615.27</v>
      </c>
      <c r="AH66" s="72">
        <f t="shared" si="18"/>
        <v>-29330.5</v>
      </c>
    </row>
    <row r="67" spans="1:34" hidden="1" x14ac:dyDescent="0.25">
      <c r="A67" s="59">
        <v>120</v>
      </c>
      <c r="B67" s="73" t="s">
        <v>111</v>
      </c>
      <c r="C67" s="333">
        <v>20.329999999999998</v>
      </c>
      <c r="D67" s="79">
        <v>0</v>
      </c>
      <c r="E67" s="72">
        <f t="shared" si="21"/>
        <v>20.329999999999998</v>
      </c>
      <c r="F67" s="63">
        <v>1.1399999999999999</v>
      </c>
      <c r="G67" s="76">
        <f t="shared" si="19"/>
        <v>23.18</v>
      </c>
      <c r="H67" s="77">
        <v>1980</v>
      </c>
      <c r="I67" s="331">
        <v>1</v>
      </c>
      <c r="J67" s="63">
        <v>1.1000000000000001</v>
      </c>
      <c r="K67" s="332">
        <f t="shared" si="2"/>
        <v>1.29E-2</v>
      </c>
      <c r="L67" s="332">
        <v>1</v>
      </c>
      <c r="M67" s="332"/>
      <c r="N67" s="66">
        <f t="shared" si="4"/>
        <v>21300</v>
      </c>
      <c r="O67" s="64">
        <v>1.8</v>
      </c>
      <c r="P67" s="7">
        <v>2.2000000000000002</v>
      </c>
      <c r="Q67" s="64">
        <v>1.302</v>
      </c>
      <c r="R67" s="7">
        <f t="shared" si="5"/>
        <v>1317853.2</v>
      </c>
      <c r="S67" s="7">
        <f t="shared" si="20"/>
        <v>17000.3</v>
      </c>
      <c r="T67" s="69">
        <f t="shared" si="7"/>
        <v>2E-3</v>
      </c>
      <c r="U67" s="7">
        <v>27093</v>
      </c>
      <c r="V67" s="7">
        <f t="shared" si="8"/>
        <v>59604.6</v>
      </c>
      <c r="W67" s="7">
        <f t="shared" si="9"/>
        <v>18000.599999999999</v>
      </c>
      <c r="X67" s="7">
        <f t="shared" si="10"/>
        <v>931262.3</v>
      </c>
      <c r="Y67" s="7">
        <f t="shared" si="11"/>
        <v>1862.5</v>
      </c>
      <c r="Z67" s="7">
        <f t="shared" si="12"/>
        <v>3772.6</v>
      </c>
      <c r="AA67" s="7">
        <f t="shared" si="13"/>
        <v>786</v>
      </c>
      <c r="AB67" s="71">
        <f t="shared" si="14"/>
        <v>23421.4</v>
      </c>
      <c r="AC67" s="71">
        <f t="shared" si="15"/>
        <v>13780.3</v>
      </c>
      <c r="AD67" s="71">
        <f t="shared" si="16"/>
        <v>9641.1</v>
      </c>
      <c r="AE67" s="78">
        <f t="shared" si="17"/>
        <v>36836.400000000001</v>
      </c>
      <c r="AF67" s="79">
        <v>26789.52</v>
      </c>
      <c r="AG67" s="79">
        <v>10046.84</v>
      </c>
      <c r="AH67" s="72">
        <f t="shared" si="18"/>
        <v>-13415</v>
      </c>
    </row>
    <row r="68" spans="1:34" hidden="1" x14ac:dyDescent="0.25">
      <c r="A68" s="59">
        <v>120</v>
      </c>
      <c r="B68" s="73" t="s">
        <v>112</v>
      </c>
      <c r="C68" s="333">
        <v>29.33</v>
      </c>
      <c r="D68" s="79">
        <v>0</v>
      </c>
      <c r="E68" s="72">
        <f t="shared" si="21"/>
        <v>29.33</v>
      </c>
      <c r="F68" s="63">
        <v>1.1399999999999999</v>
      </c>
      <c r="G68" s="76">
        <f t="shared" si="19"/>
        <v>33.44</v>
      </c>
      <c r="H68" s="77">
        <v>1980</v>
      </c>
      <c r="I68" s="331">
        <v>1</v>
      </c>
      <c r="J68" s="63">
        <v>1.1000000000000001</v>
      </c>
      <c r="K68" s="332">
        <f t="shared" si="2"/>
        <v>1.8599999999999998E-2</v>
      </c>
      <c r="L68" s="332">
        <v>1</v>
      </c>
      <c r="M68" s="332"/>
      <c r="N68" s="66">
        <f t="shared" si="4"/>
        <v>21300</v>
      </c>
      <c r="O68" s="64">
        <v>1.8</v>
      </c>
      <c r="P68" s="7">
        <v>2.2000000000000002</v>
      </c>
      <c r="Q68" s="64">
        <v>1.302</v>
      </c>
      <c r="R68" s="7">
        <f t="shared" si="5"/>
        <v>1317853.2</v>
      </c>
      <c r="S68" s="7">
        <f t="shared" si="20"/>
        <v>24512.1</v>
      </c>
      <c r="T68" s="69">
        <f t="shared" si="7"/>
        <v>3.0000000000000001E-3</v>
      </c>
      <c r="U68" s="7">
        <v>27093</v>
      </c>
      <c r="V68" s="7">
        <f t="shared" si="8"/>
        <v>59604.6</v>
      </c>
      <c r="W68" s="7">
        <f t="shared" si="9"/>
        <v>18000.599999999999</v>
      </c>
      <c r="X68" s="7">
        <f t="shared" si="10"/>
        <v>931262.3</v>
      </c>
      <c r="Y68" s="7">
        <f t="shared" si="11"/>
        <v>2793.8</v>
      </c>
      <c r="Z68" s="7">
        <f t="shared" si="12"/>
        <v>5461.2</v>
      </c>
      <c r="AA68" s="7">
        <f t="shared" si="13"/>
        <v>1137.7</v>
      </c>
      <c r="AB68" s="71">
        <f t="shared" si="14"/>
        <v>33904.800000000003</v>
      </c>
      <c r="AC68" s="71">
        <f t="shared" si="15"/>
        <v>19948.3</v>
      </c>
      <c r="AD68" s="71">
        <f t="shared" si="16"/>
        <v>13956.5</v>
      </c>
      <c r="AE68" s="78">
        <f t="shared" si="17"/>
        <v>54377.5</v>
      </c>
      <c r="AF68" s="79">
        <v>39546.43</v>
      </c>
      <c r="AG68" s="79">
        <v>14831.06</v>
      </c>
      <c r="AH68" s="72">
        <f t="shared" si="18"/>
        <v>-20472.7</v>
      </c>
    </row>
    <row r="69" spans="1:34" hidden="1" x14ac:dyDescent="0.25">
      <c r="A69" s="59">
        <v>120</v>
      </c>
      <c r="B69" s="73" t="s">
        <v>113</v>
      </c>
      <c r="C69" s="333">
        <v>47.33</v>
      </c>
      <c r="D69" s="79">
        <v>0</v>
      </c>
      <c r="E69" s="72">
        <f t="shared" si="21"/>
        <v>47.33</v>
      </c>
      <c r="F69" s="63">
        <v>1.1399999999999999</v>
      </c>
      <c r="G69" s="76">
        <f t="shared" si="19"/>
        <v>53.96</v>
      </c>
      <c r="H69" s="77">
        <v>1980</v>
      </c>
      <c r="I69" s="331">
        <v>1</v>
      </c>
      <c r="J69" s="63">
        <v>1.1000000000000001</v>
      </c>
      <c r="K69" s="332">
        <f t="shared" si="2"/>
        <v>0.03</v>
      </c>
      <c r="L69" s="332">
        <v>1</v>
      </c>
      <c r="M69" s="332"/>
      <c r="N69" s="66">
        <f t="shared" si="4"/>
        <v>21300</v>
      </c>
      <c r="O69" s="64">
        <v>1.8</v>
      </c>
      <c r="P69" s="7">
        <v>2.2000000000000002</v>
      </c>
      <c r="Q69" s="64">
        <v>1.302</v>
      </c>
      <c r="R69" s="7">
        <f t="shared" si="5"/>
        <v>1317853.2</v>
      </c>
      <c r="S69" s="7">
        <f t="shared" si="20"/>
        <v>39535.599999999999</v>
      </c>
      <c r="T69" s="69">
        <f t="shared" si="7"/>
        <v>5.0000000000000001E-3</v>
      </c>
      <c r="U69" s="7">
        <v>27093</v>
      </c>
      <c r="V69" s="7">
        <f t="shared" si="8"/>
        <v>59604.6</v>
      </c>
      <c r="W69" s="7">
        <f t="shared" si="9"/>
        <v>18000.599999999999</v>
      </c>
      <c r="X69" s="7">
        <f t="shared" si="10"/>
        <v>931262.3</v>
      </c>
      <c r="Y69" s="7">
        <f t="shared" si="11"/>
        <v>4656.3</v>
      </c>
      <c r="Z69" s="7">
        <f t="shared" si="12"/>
        <v>8838.4</v>
      </c>
      <c r="AA69" s="7">
        <f t="shared" si="13"/>
        <v>1841.3</v>
      </c>
      <c r="AB69" s="71">
        <f t="shared" si="14"/>
        <v>54871.6</v>
      </c>
      <c r="AC69" s="71">
        <f t="shared" si="15"/>
        <v>32284.400000000001</v>
      </c>
      <c r="AD69" s="71">
        <f t="shared" si="16"/>
        <v>22587.200000000001</v>
      </c>
      <c r="AE69" s="78">
        <f t="shared" si="17"/>
        <v>101738.5</v>
      </c>
      <c r="AF69" s="79">
        <v>73990.100000000006</v>
      </c>
      <c r="AG69" s="79">
        <v>27748.43</v>
      </c>
      <c r="AH69" s="72">
        <f t="shared" si="18"/>
        <v>-46866.9</v>
      </c>
    </row>
    <row r="70" spans="1:34" hidden="1" x14ac:dyDescent="0.25">
      <c r="A70" s="59">
        <v>120</v>
      </c>
      <c r="B70" s="73" t="s">
        <v>114</v>
      </c>
      <c r="C70" s="333">
        <v>116.67</v>
      </c>
      <c r="D70" s="79">
        <v>0</v>
      </c>
      <c r="E70" s="72">
        <f t="shared" si="21"/>
        <v>116.67</v>
      </c>
      <c r="F70" s="63">
        <v>1.1399999999999999</v>
      </c>
      <c r="G70" s="76">
        <f t="shared" si="19"/>
        <v>133</v>
      </c>
      <c r="H70" s="77">
        <v>1980</v>
      </c>
      <c r="I70" s="331">
        <v>1</v>
      </c>
      <c r="J70" s="63">
        <v>1.1000000000000001</v>
      </c>
      <c r="K70" s="332">
        <f t="shared" ref="K70" si="22">(G70/H70)*I70*J70</f>
        <v>7.3899999999999993E-2</v>
      </c>
      <c r="L70" s="332">
        <v>1</v>
      </c>
      <c r="M70" s="332"/>
      <c r="N70" s="66">
        <f t="shared" ref="N70:N92" si="23">18042*1.04*1.055*1.076</f>
        <v>21300</v>
      </c>
      <c r="O70" s="64">
        <v>1.8</v>
      </c>
      <c r="P70" s="7">
        <v>2.2000000000000002</v>
      </c>
      <c r="Q70" s="64">
        <v>1.302</v>
      </c>
      <c r="R70" s="7">
        <f t="shared" ref="R70" si="24">N70*O70*P70*Q70*12</f>
        <v>1317853.2</v>
      </c>
      <c r="S70" s="7">
        <f t="shared" si="20"/>
        <v>97389.4</v>
      </c>
      <c r="T70" s="69">
        <f t="shared" ref="T70" si="25">K70/J70*0.2</f>
        <v>1.2999999999999999E-2</v>
      </c>
      <c r="U70" s="7">
        <v>27093</v>
      </c>
      <c r="V70" s="7">
        <f t="shared" ref="V70" si="26">U70*P70</f>
        <v>59604.6</v>
      </c>
      <c r="W70" s="7">
        <f t="shared" ref="W70" si="27">V70*0.302</f>
        <v>18000.599999999999</v>
      </c>
      <c r="X70" s="7">
        <f t="shared" ref="X70" si="28">V70*1.302*12</f>
        <v>931262.3</v>
      </c>
      <c r="Y70" s="7">
        <f t="shared" ref="Y70:Y92" si="29">X70*T70</f>
        <v>12106.4</v>
      </c>
      <c r="Z70" s="7">
        <f t="shared" ref="Z70:Z92" si="30">(S70+Y70)*0.2</f>
        <v>21899.200000000001</v>
      </c>
      <c r="AA70" s="7">
        <f t="shared" ref="AA70" si="31">(K70/2)*(R70/12)+(T70/2)*(X70/12)</f>
        <v>4562.3</v>
      </c>
      <c r="AB70" s="71">
        <f t="shared" ref="AB70" si="32">S70+Y70+Z70+AA70</f>
        <v>135957.29999999999</v>
      </c>
      <c r="AC70" s="71">
        <f t="shared" ref="AC70" si="33">AB70/$AB$93*$AC$93</f>
        <v>79992.2</v>
      </c>
      <c r="AD70" s="71">
        <f t="shared" ref="AD70" si="34">AB70-AC70</f>
        <v>55965.1</v>
      </c>
      <c r="AE70" s="78">
        <f t="shared" ref="AE70" si="35">AF70+AG70</f>
        <v>228034.6</v>
      </c>
      <c r="AF70" s="79">
        <v>165839.88</v>
      </c>
      <c r="AG70" s="79">
        <v>62194.75</v>
      </c>
      <c r="AH70" s="72">
        <f t="shared" ref="AH70" si="36">AB70-AE70</f>
        <v>-92077.3</v>
      </c>
    </row>
    <row r="71" spans="1:34" hidden="1" x14ac:dyDescent="0.25">
      <c r="A71" s="59">
        <v>120</v>
      </c>
      <c r="B71" s="73" t="s">
        <v>115</v>
      </c>
      <c r="C71" s="333">
        <v>30</v>
      </c>
      <c r="D71" s="79">
        <v>0</v>
      </c>
      <c r="E71" s="72">
        <f t="shared" si="21"/>
        <v>30</v>
      </c>
      <c r="F71" s="63">
        <v>1.1399999999999999</v>
      </c>
      <c r="G71" s="76">
        <f t="shared" si="19"/>
        <v>34.200000000000003</v>
      </c>
      <c r="H71" s="77">
        <v>1980</v>
      </c>
      <c r="I71" s="331">
        <v>1</v>
      </c>
      <c r="J71" s="63">
        <v>1.1000000000000001</v>
      </c>
      <c r="K71" s="332">
        <f t="shared" ref="K71:K92" si="37">(G71/H71)*I71*J71</f>
        <v>1.9E-2</v>
      </c>
      <c r="L71" s="332">
        <v>1</v>
      </c>
      <c r="M71" s="332"/>
      <c r="N71" s="66">
        <f t="shared" si="23"/>
        <v>21300</v>
      </c>
      <c r="O71" s="64">
        <v>1.8</v>
      </c>
      <c r="P71" s="7">
        <v>2.2000000000000002</v>
      </c>
      <c r="Q71" s="64">
        <v>1.302</v>
      </c>
      <c r="R71" s="7">
        <f t="shared" ref="R71:R92" si="38">N71*O71*P71*Q71*12</f>
        <v>1317853.2</v>
      </c>
      <c r="S71" s="7">
        <f t="shared" si="20"/>
        <v>25039.200000000001</v>
      </c>
      <c r="T71" s="69">
        <f t="shared" ref="T71:T92" si="39">K71/J71*0.2</f>
        <v>3.0000000000000001E-3</v>
      </c>
      <c r="U71" s="7">
        <v>27093</v>
      </c>
      <c r="V71" s="7">
        <f t="shared" ref="V71:V92" si="40">U71*P71</f>
        <v>59604.6</v>
      </c>
      <c r="W71" s="7">
        <f t="shared" ref="W71:W92" si="41">V71*0.302</f>
        <v>18000.599999999999</v>
      </c>
      <c r="X71" s="7">
        <f t="shared" ref="X71:X92" si="42">V71*1.302*12</f>
        <v>931262.3</v>
      </c>
      <c r="Y71" s="7">
        <f t="shared" si="29"/>
        <v>2793.8</v>
      </c>
      <c r="Z71" s="7">
        <f t="shared" si="30"/>
        <v>5566.6</v>
      </c>
      <c r="AA71" s="7">
        <f t="shared" ref="AA71:AA92" si="43">(K71/2)*(R71/12)+(T71/2)*(X71/12)</f>
        <v>1159.7</v>
      </c>
      <c r="AB71" s="71">
        <f t="shared" ref="AB71:AB92" si="44">S71+Y71+Z71+AA71</f>
        <v>34559.300000000003</v>
      </c>
      <c r="AC71" s="71">
        <f t="shared" ref="AC71:AC92" si="45">AB71/$AB$93*$AC$93</f>
        <v>20333.400000000001</v>
      </c>
      <c r="AD71" s="71">
        <f t="shared" ref="AD71:AD92" si="46">AB71-AC71</f>
        <v>14225.9</v>
      </c>
      <c r="AE71" s="78">
        <f t="shared" ref="AE71:AE92" si="47">AF71+AG71</f>
        <v>63148.1</v>
      </c>
      <c r="AF71" s="79">
        <v>45924.89</v>
      </c>
      <c r="AG71" s="79">
        <v>17223.16</v>
      </c>
      <c r="AH71" s="72">
        <f t="shared" ref="AH71:AH93" si="48">AB71-AE71</f>
        <v>-28588.799999999999</v>
      </c>
    </row>
    <row r="72" spans="1:34" s="347" customFormat="1" hidden="1" x14ac:dyDescent="0.25">
      <c r="A72" s="334">
        <v>121</v>
      </c>
      <c r="B72" s="335" t="s">
        <v>116</v>
      </c>
      <c r="C72" s="336">
        <v>1202.33</v>
      </c>
      <c r="D72" s="336">
        <v>13468</v>
      </c>
      <c r="E72" s="338">
        <f t="shared" si="21"/>
        <v>14670.33</v>
      </c>
      <c r="F72" s="63">
        <v>1.1399999999999999</v>
      </c>
      <c r="G72" s="339">
        <f t="shared" si="19"/>
        <v>16724.18</v>
      </c>
      <c r="H72" s="340">
        <v>1980</v>
      </c>
      <c r="I72" s="341">
        <v>1.01</v>
      </c>
      <c r="J72" s="342">
        <v>1.1000000000000001</v>
      </c>
      <c r="K72" s="343">
        <f t="shared" si="37"/>
        <v>9.3841000000000001</v>
      </c>
      <c r="L72" s="343">
        <v>5</v>
      </c>
      <c r="M72" s="343">
        <f>K72-L72</f>
        <v>4.3841000000000001</v>
      </c>
      <c r="N72" s="66">
        <f t="shared" si="23"/>
        <v>21300</v>
      </c>
      <c r="O72" s="344">
        <v>1.8</v>
      </c>
      <c r="P72" s="345">
        <v>2.2000000000000002</v>
      </c>
      <c r="Q72" s="344">
        <v>1.302</v>
      </c>
      <c r="R72" s="345">
        <f t="shared" si="38"/>
        <v>1317853.2</v>
      </c>
      <c r="S72" s="345">
        <f t="shared" si="20"/>
        <v>12366866.199999999</v>
      </c>
      <c r="T72" s="346">
        <f t="shared" si="39"/>
        <v>1.706</v>
      </c>
      <c r="U72" s="7">
        <v>27093</v>
      </c>
      <c r="V72" s="7">
        <f t="shared" si="40"/>
        <v>59604.6</v>
      </c>
      <c r="W72" s="345">
        <f t="shared" si="41"/>
        <v>18000.599999999999</v>
      </c>
      <c r="X72" s="7">
        <f t="shared" si="42"/>
        <v>931262.3</v>
      </c>
      <c r="Y72" s="7">
        <f t="shared" si="29"/>
        <v>1588733.5</v>
      </c>
      <c r="Z72" s="7">
        <f t="shared" si="30"/>
        <v>2791119.9</v>
      </c>
      <c r="AA72" s="7">
        <f t="shared" si="43"/>
        <v>581483.30000000005</v>
      </c>
      <c r="AB72" s="71">
        <f t="shared" si="44"/>
        <v>17328202.899999999</v>
      </c>
      <c r="AC72" s="71">
        <f t="shared" si="45"/>
        <v>10195272.1</v>
      </c>
      <c r="AD72" s="71">
        <f t="shared" si="46"/>
        <v>7132930.7999999998</v>
      </c>
      <c r="AE72" s="78">
        <f t="shared" si="47"/>
        <v>10861894.1</v>
      </c>
      <c r="AF72" s="337">
        <v>7821181.3099999996</v>
      </c>
      <c r="AG72" s="337">
        <v>3040712.79</v>
      </c>
      <c r="AH72" s="72">
        <f t="shared" si="48"/>
        <v>6466308.7999999998</v>
      </c>
    </row>
    <row r="73" spans="1:34" hidden="1" x14ac:dyDescent="0.25">
      <c r="A73" s="59">
        <v>121</v>
      </c>
      <c r="B73" s="73" t="s">
        <v>117</v>
      </c>
      <c r="C73" s="333">
        <v>136</v>
      </c>
      <c r="D73" s="79"/>
      <c r="E73" s="72">
        <f t="shared" si="21"/>
        <v>136</v>
      </c>
      <c r="F73" s="63">
        <v>1.1399999999999999</v>
      </c>
      <c r="G73" s="76">
        <f t="shared" si="19"/>
        <v>155.04</v>
      </c>
      <c r="H73" s="77">
        <v>1980</v>
      </c>
      <c r="I73" s="331">
        <v>1</v>
      </c>
      <c r="J73" s="63">
        <v>1.1000000000000001</v>
      </c>
      <c r="K73" s="332">
        <f t="shared" si="37"/>
        <v>8.6099999999999996E-2</v>
      </c>
      <c r="L73" s="332">
        <v>1</v>
      </c>
      <c r="M73" s="332"/>
      <c r="N73" s="66">
        <f t="shared" si="23"/>
        <v>21300</v>
      </c>
      <c r="O73" s="64">
        <v>1.8</v>
      </c>
      <c r="P73" s="7">
        <v>2.2000000000000002</v>
      </c>
      <c r="Q73" s="64">
        <v>1.302</v>
      </c>
      <c r="R73" s="7">
        <f t="shared" si="38"/>
        <v>1317853.2</v>
      </c>
      <c r="S73" s="7">
        <f t="shared" si="20"/>
        <v>113467.2</v>
      </c>
      <c r="T73" s="69">
        <f t="shared" si="39"/>
        <v>1.6E-2</v>
      </c>
      <c r="U73" s="7">
        <v>27093</v>
      </c>
      <c r="V73" s="7">
        <f t="shared" si="40"/>
        <v>59604.6</v>
      </c>
      <c r="W73" s="7">
        <f t="shared" si="41"/>
        <v>18000.599999999999</v>
      </c>
      <c r="X73" s="7">
        <f t="shared" si="42"/>
        <v>931262.3</v>
      </c>
      <c r="Y73" s="7">
        <f t="shared" si="29"/>
        <v>14900.2</v>
      </c>
      <c r="Z73" s="7">
        <f t="shared" si="30"/>
        <v>25673.5</v>
      </c>
      <c r="AA73" s="7">
        <f t="shared" si="43"/>
        <v>5348.6</v>
      </c>
      <c r="AB73" s="71">
        <f t="shared" si="44"/>
        <v>159389.5</v>
      </c>
      <c r="AC73" s="71">
        <f t="shared" si="45"/>
        <v>93778.9</v>
      </c>
      <c r="AD73" s="71">
        <f t="shared" si="46"/>
        <v>65610.600000000006</v>
      </c>
      <c r="AE73" s="78">
        <f t="shared" si="47"/>
        <v>240313.4</v>
      </c>
      <c r="AF73" s="79">
        <v>174769.72</v>
      </c>
      <c r="AG73" s="79">
        <v>65543.7</v>
      </c>
      <c r="AH73" s="72">
        <f t="shared" si="48"/>
        <v>-80923.899999999994</v>
      </c>
    </row>
    <row r="74" spans="1:34" hidden="1" x14ac:dyDescent="0.25">
      <c r="A74" s="59">
        <v>121</v>
      </c>
      <c r="B74" s="73" t="s">
        <v>118</v>
      </c>
      <c r="C74" s="333">
        <v>440.67</v>
      </c>
      <c r="D74" s="79"/>
      <c r="E74" s="72">
        <f t="shared" si="21"/>
        <v>440.67</v>
      </c>
      <c r="F74" s="63">
        <v>1.1399999999999999</v>
      </c>
      <c r="G74" s="76">
        <f t="shared" si="19"/>
        <v>502.36</v>
      </c>
      <c r="H74" s="77">
        <v>1980</v>
      </c>
      <c r="I74" s="331">
        <v>1</v>
      </c>
      <c r="J74" s="63">
        <v>1.1000000000000001</v>
      </c>
      <c r="K74" s="332">
        <f t="shared" si="37"/>
        <v>0.27910000000000001</v>
      </c>
      <c r="L74" s="332">
        <v>1</v>
      </c>
      <c r="M74" s="332"/>
      <c r="N74" s="66">
        <f t="shared" si="23"/>
        <v>21300</v>
      </c>
      <c r="O74" s="64">
        <v>1.8</v>
      </c>
      <c r="P74" s="7">
        <v>2.2000000000000002</v>
      </c>
      <c r="Q74" s="64">
        <v>1.302</v>
      </c>
      <c r="R74" s="7">
        <f t="shared" si="38"/>
        <v>1317853.2</v>
      </c>
      <c r="S74" s="7">
        <f t="shared" si="20"/>
        <v>367812.8</v>
      </c>
      <c r="T74" s="69">
        <f t="shared" si="39"/>
        <v>5.0999999999999997E-2</v>
      </c>
      <c r="U74" s="7">
        <v>27093</v>
      </c>
      <c r="V74" s="7">
        <f t="shared" si="40"/>
        <v>59604.6</v>
      </c>
      <c r="W74" s="7">
        <f t="shared" si="41"/>
        <v>18000.599999999999</v>
      </c>
      <c r="X74" s="7">
        <f t="shared" si="42"/>
        <v>931262.3</v>
      </c>
      <c r="Y74" s="7">
        <f t="shared" si="29"/>
        <v>47494.400000000001</v>
      </c>
      <c r="Z74" s="7">
        <f t="shared" si="30"/>
        <v>83061.399999999994</v>
      </c>
      <c r="AA74" s="7">
        <f t="shared" si="43"/>
        <v>17304.5</v>
      </c>
      <c r="AB74" s="71">
        <f t="shared" si="44"/>
        <v>515673.1</v>
      </c>
      <c r="AC74" s="71">
        <f t="shared" si="45"/>
        <v>303402.90000000002</v>
      </c>
      <c r="AD74" s="71">
        <f t="shared" si="46"/>
        <v>212270.2</v>
      </c>
      <c r="AE74" s="78">
        <f t="shared" si="47"/>
        <v>817342.8</v>
      </c>
      <c r="AF74" s="79">
        <v>594418.61</v>
      </c>
      <c r="AG74" s="79">
        <v>222924.18</v>
      </c>
      <c r="AH74" s="72">
        <f t="shared" si="48"/>
        <v>-301669.7</v>
      </c>
    </row>
    <row r="75" spans="1:34" hidden="1" x14ac:dyDescent="0.25">
      <c r="A75" s="59">
        <v>121</v>
      </c>
      <c r="B75" s="73" t="s">
        <v>119</v>
      </c>
      <c r="C75" s="333">
        <v>7</v>
      </c>
      <c r="D75" s="79"/>
      <c r="E75" s="72">
        <f t="shared" si="21"/>
        <v>7</v>
      </c>
      <c r="F75" s="63">
        <v>1.1399999999999999</v>
      </c>
      <c r="G75" s="76">
        <f t="shared" si="19"/>
        <v>7.98</v>
      </c>
      <c r="H75" s="77">
        <v>1980</v>
      </c>
      <c r="I75" s="331">
        <v>1.091</v>
      </c>
      <c r="J75" s="63">
        <v>1.1000000000000001</v>
      </c>
      <c r="K75" s="332">
        <f t="shared" si="37"/>
        <v>4.7999999999999996E-3</v>
      </c>
      <c r="L75" s="332">
        <v>1</v>
      </c>
      <c r="M75" s="332"/>
      <c r="N75" s="66">
        <f t="shared" si="23"/>
        <v>21300</v>
      </c>
      <c r="O75" s="64">
        <v>1.8</v>
      </c>
      <c r="P75" s="7">
        <v>2.2000000000000002</v>
      </c>
      <c r="Q75" s="64">
        <v>1.302</v>
      </c>
      <c r="R75" s="7">
        <f t="shared" si="38"/>
        <v>1317853.2</v>
      </c>
      <c r="S75" s="7">
        <f t="shared" si="20"/>
        <v>6325.7</v>
      </c>
      <c r="T75" s="69">
        <f t="shared" si="39"/>
        <v>1E-3</v>
      </c>
      <c r="U75" s="7">
        <v>27093</v>
      </c>
      <c r="V75" s="7">
        <f t="shared" si="40"/>
        <v>59604.6</v>
      </c>
      <c r="W75" s="7">
        <f t="shared" si="41"/>
        <v>18000.599999999999</v>
      </c>
      <c r="X75" s="7">
        <f t="shared" si="42"/>
        <v>931262.3</v>
      </c>
      <c r="Y75" s="7">
        <f t="shared" si="29"/>
        <v>931.3</v>
      </c>
      <c r="Z75" s="7">
        <f t="shared" si="30"/>
        <v>1451.4</v>
      </c>
      <c r="AA75" s="7">
        <f t="shared" si="43"/>
        <v>302.39999999999998</v>
      </c>
      <c r="AB75" s="71">
        <f t="shared" si="44"/>
        <v>9010.7999999999993</v>
      </c>
      <c r="AC75" s="71">
        <f t="shared" si="45"/>
        <v>5301.6</v>
      </c>
      <c r="AD75" s="71">
        <f t="shared" si="46"/>
        <v>3709.2</v>
      </c>
      <c r="AE75" s="78">
        <f t="shared" si="47"/>
        <v>17541.099999999999</v>
      </c>
      <c r="AF75" s="79">
        <v>12756.91</v>
      </c>
      <c r="AG75" s="79">
        <v>4784.21</v>
      </c>
      <c r="AH75" s="72">
        <f t="shared" si="48"/>
        <v>-8530.2999999999993</v>
      </c>
    </row>
    <row r="76" spans="1:34" hidden="1" x14ac:dyDescent="0.25">
      <c r="A76" s="59">
        <v>121</v>
      </c>
      <c r="B76" s="73" t="s">
        <v>120</v>
      </c>
      <c r="C76" s="333">
        <v>1045</v>
      </c>
      <c r="D76" s="79"/>
      <c r="E76" s="72">
        <f t="shared" si="21"/>
        <v>1045</v>
      </c>
      <c r="F76" s="63">
        <v>1.1399999999999999</v>
      </c>
      <c r="G76" s="76">
        <f t="shared" si="19"/>
        <v>1191.3</v>
      </c>
      <c r="H76" s="77">
        <v>1980</v>
      </c>
      <c r="I76" s="331">
        <v>1</v>
      </c>
      <c r="J76" s="63">
        <v>1.1000000000000001</v>
      </c>
      <c r="K76" s="332">
        <f t="shared" si="37"/>
        <v>0.66180000000000005</v>
      </c>
      <c r="L76" s="332">
        <v>1</v>
      </c>
      <c r="M76" s="332"/>
      <c r="N76" s="66">
        <f t="shared" si="23"/>
        <v>21300</v>
      </c>
      <c r="O76" s="64">
        <v>1.8</v>
      </c>
      <c r="P76" s="7">
        <v>2.2000000000000002</v>
      </c>
      <c r="Q76" s="64">
        <v>1.302</v>
      </c>
      <c r="R76" s="7">
        <f t="shared" si="38"/>
        <v>1317853.2</v>
      </c>
      <c r="S76" s="7">
        <f t="shared" si="20"/>
        <v>872155.2</v>
      </c>
      <c r="T76" s="69">
        <f t="shared" si="39"/>
        <v>0.12</v>
      </c>
      <c r="U76" s="7">
        <v>27093</v>
      </c>
      <c r="V76" s="7">
        <f t="shared" si="40"/>
        <v>59604.6</v>
      </c>
      <c r="W76" s="7">
        <f t="shared" si="41"/>
        <v>18000.599999999999</v>
      </c>
      <c r="X76" s="7">
        <f t="shared" si="42"/>
        <v>931262.3</v>
      </c>
      <c r="Y76" s="7">
        <f t="shared" si="29"/>
        <v>111751.5</v>
      </c>
      <c r="Z76" s="7">
        <f t="shared" si="30"/>
        <v>196781.3</v>
      </c>
      <c r="AA76" s="7">
        <f t="shared" si="43"/>
        <v>40996.1</v>
      </c>
      <c r="AB76" s="71">
        <f t="shared" si="44"/>
        <v>1221684.1000000001</v>
      </c>
      <c r="AC76" s="71">
        <f t="shared" si="45"/>
        <v>718793.6</v>
      </c>
      <c r="AD76" s="71">
        <f t="shared" si="46"/>
        <v>502890.5</v>
      </c>
      <c r="AE76" s="78">
        <f t="shared" si="47"/>
        <v>1996918.7</v>
      </c>
      <c r="AF76" s="79">
        <v>1452273.91</v>
      </c>
      <c r="AG76" s="79">
        <v>544644.74</v>
      </c>
      <c r="AH76" s="72">
        <f t="shared" si="48"/>
        <v>-775234.6</v>
      </c>
    </row>
    <row r="77" spans="1:34" hidden="1" x14ac:dyDescent="0.25">
      <c r="A77" s="59">
        <v>121</v>
      </c>
      <c r="B77" s="73" t="s">
        <v>121</v>
      </c>
      <c r="C77" s="333">
        <v>283</v>
      </c>
      <c r="D77" s="79"/>
      <c r="E77" s="72">
        <f t="shared" si="21"/>
        <v>283</v>
      </c>
      <c r="F77" s="63">
        <v>1.1399999999999999</v>
      </c>
      <c r="G77" s="76">
        <f t="shared" si="19"/>
        <v>322.62</v>
      </c>
      <c r="H77" s="77">
        <v>1980</v>
      </c>
      <c r="I77" s="331">
        <v>1</v>
      </c>
      <c r="J77" s="63">
        <v>1.1000000000000001</v>
      </c>
      <c r="K77" s="332">
        <f t="shared" si="37"/>
        <v>0.1792</v>
      </c>
      <c r="L77" s="332">
        <v>1</v>
      </c>
      <c r="M77" s="332"/>
      <c r="N77" s="66">
        <f t="shared" si="23"/>
        <v>21300</v>
      </c>
      <c r="O77" s="64">
        <v>1.8</v>
      </c>
      <c r="P77" s="7">
        <v>2.2000000000000002</v>
      </c>
      <c r="Q77" s="64">
        <v>1.302</v>
      </c>
      <c r="R77" s="7">
        <f t="shared" si="38"/>
        <v>1317853.2</v>
      </c>
      <c r="S77" s="7">
        <f t="shared" si="20"/>
        <v>236159.3</v>
      </c>
      <c r="T77" s="69">
        <f t="shared" si="39"/>
        <v>3.3000000000000002E-2</v>
      </c>
      <c r="U77" s="7">
        <v>27093</v>
      </c>
      <c r="V77" s="7">
        <f t="shared" si="40"/>
        <v>59604.6</v>
      </c>
      <c r="W77" s="7">
        <f t="shared" si="41"/>
        <v>18000.599999999999</v>
      </c>
      <c r="X77" s="7">
        <f t="shared" si="42"/>
        <v>931262.3</v>
      </c>
      <c r="Y77" s="7">
        <f t="shared" si="29"/>
        <v>30731.7</v>
      </c>
      <c r="Z77" s="7">
        <f t="shared" si="30"/>
        <v>53378.2</v>
      </c>
      <c r="AA77" s="7">
        <f t="shared" si="43"/>
        <v>11120.5</v>
      </c>
      <c r="AB77" s="71">
        <f t="shared" si="44"/>
        <v>331389.7</v>
      </c>
      <c r="AC77" s="71">
        <f t="shared" si="45"/>
        <v>194977.4</v>
      </c>
      <c r="AD77" s="71">
        <f t="shared" si="46"/>
        <v>136412.29999999999</v>
      </c>
      <c r="AE77" s="78">
        <f t="shared" si="47"/>
        <v>527987.9</v>
      </c>
      <c r="AF77" s="79">
        <v>383983.11</v>
      </c>
      <c r="AG77" s="79">
        <v>144004.78</v>
      </c>
      <c r="AH77" s="72">
        <f t="shared" si="48"/>
        <v>-196598.2</v>
      </c>
    </row>
    <row r="78" spans="1:34" hidden="1" x14ac:dyDescent="0.25">
      <c r="A78" s="59">
        <v>121</v>
      </c>
      <c r="B78" s="73" t="s">
        <v>122</v>
      </c>
      <c r="C78" s="333">
        <v>46.33</v>
      </c>
      <c r="D78" s="79"/>
      <c r="E78" s="72">
        <f t="shared" si="21"/>
        <v>46.33</v>
      </c>
      <c r="F78" s="63">
        <v>1.1399999999999999</v>
      </c>
      <c r="G78" s="76">
        <f t="shared" si="19"/>
        <v>52.82</v>
      </c>
      <c r="H78" s="77">
        <v>1980</v>
      </c>
      <c r="I78" s="331">
        <v>1</v>
      </c>
      <c r="J78" s="63">
        <v>1.1000000000000001</v>
      </c>
      <c r="K78" s="332">
        <f t="shared" si="37"/>
        <v>2.93E-2</v>
      </c>
      <c r="L78" s="332">
        <v>1</v>
      </c>
      <c r="M78" s="332"/>
      <c r="N78" s="66">
        <f t="shared" si="23"/>
        <v>21300</v>
      </c>
      <c r="O78" s="64">
        <v>1.8</v>
      </c>
      <c r="P78" s="7">
        <v>2.2000000000000002</v>
      </c>
      <c r="Q78" s="64">
        <v>1.302</v>
      </c>
      <c r="R78" s="7">
        <f t="shared" si="38"/>
        <v>1317853.2</v>
      </c>
      <c r="S78" s="7">
        <f t="shared" si="20"/>
        <v>38613.1</v>
      </c>
      <c r="T78" s="69">
        <f t="shared" si="39"/>
        <v>5.0000000000000001E-3</v>
      </c>
      <c r="U78" s="7">
        <v>27093</v>
      </c>
      <c r="V78" s="7">
        <f t="shared" si="40"/>
        <v>59604.6</v>
      </c>
      <c r="W78" s="7">
        <f t="shared" si="41"/>
        <v>18000.599999999999</v>
      </c>
      <c r="X78" s="7">
        <f t="shared" si="42"/>
        <v>931262.3</v>
      </c>
      <c r="Y78" s="7">
        <f t="shared" si="29"/>
        <v>4656.3</v>
      </c>
      <c r="Z78" s="7">
        <f t="shared" si="30"/>
        <v>8653.9</v>
      </c>
      <c r="AA78" s="7">
        <f t="shared" si="43"/>
        <v>1802.9</v>
      </c>
      <c r="AB78" s="71">
        <f t="shared" si="44"/>
        <v>53726.2</v>
      </c>
      <c r="AC78" s="71">
        <f t="shared" si="45"/>
        <v>31610.5</v>
      </c>
      <c r="AD78" s="71">
        <f t="shared" si="46"/>
        <v>22115.7</v>
      </c>
      <c r="AE78" s="78">
        <f t="shared" si="47"/>
        <v>84197.4</v>
      </c>
      <c r="AF78" s="79">
        <v>61233.19</v>
      </c>
      <c r="AG78" s="79">
        <v>22964.22</v>
      </c>
      <c r="AH78" s="72">
        <f t="shared" si="48"/>
        <v>-30471.200000000001</v>
      </c>
    </row>
    <row r="79" spans="1:34" hidden="1" x14ac:dyDescent="0.25">
      <c r="A79" s="59">
        <v>121</v>
      </c>
      <c r="B79" s="73" t="s">
        <v>123</v>
      </c>
      <c r="C79" s="333">
        <v>343</v>
      </c>
      <c r="D79" s="79"/>
      <c r="E79" s="72">
        <f t="shared" si="21"/>
        <v>343</v>
      </c>
      <c r="F79" s="63">
        <v>1.1399999999999999</v>
      </c>
      <c r="G79" s="76">
        <f t="shared" si="19"/>
        <v>391.02</v>
      </c>
      <c r="H79" s="77">
        <v>1980</v>
      </c>
      <c r="I79" s="331">
        <v>1</v>
      </c>
      <c r="J79" s="63">
        <v>1.1000000000000001</v>
      </c>
      <c r="K79" s="332">
        <f t="shared" si="37"/>
        <v>0.2172</v>
      </c>
      <c r="L79" s="332">
        <v>1</v>
      </c>
      <c r="M79" s="332"/>
      <c r="N79" s="66">
        <f t="shared" si="23"/>
        <v>21300</v>
      </c>
      <c r="O79" s="64">
        <v>1.8</v>
      </c>
      <c r="P79" s="7">
        <v>2.2000000000000002</v>
      </c>
      <c r="Q79" s="64">
        <v>1.302</v>
      </c>
      <c r="R79" s="7">
        <f t="shared" si="38"/>
        <v>1317853.2</v>
      </c>
      <c r="S79" s="7">
        <f t="shared" si="20"/>
        <v>286237.7</v>
      </c>
      <c r="T79" s="69">
        <f t="shared" si="39"/>
        <v>3.9E-2</v>
      </c>
      <c r="U79" s="7">
        <v>27093</v>
      </c>
      <c r="V79" s="7">
        <f t="shared" si="40"/>
        <v>59604.6</v>
      </c>
      <c r="W79" s="7">
        <f t="shared" si="41"/>
        <v>18000.599999999999</v>
      </c>
      <c r="X79" s="7">
        <f t="shared" si="42"/>
        <v>931262.3</v>
      </c>
      <c r="Y79" s="7">
        <f t="shared" si="29"/>
        <v>36319.199999999997</v>
      </c>
      <c r="Z79" s="7">
        <f t="shared" si="30"/>
        <v>64511.4</v>
      </c>
      <c r="AA79" s="7">
        <f t="shared" si="43"/>
        <v>13439.9</v>
      </c>
      <c r="AB79" s="71">
        <f t="shared" si="44"/>
        <v>400508.2</v>
      </c>
      <c r="AC79" s="71">
        <f t="shared" si="45"/>
        <v>235644.2</v>
      </c>
      <c r="AD79" s="71">
        <f t="shared" si="46"/>
        <v>164864</v>
      </c>
      <c r="AE79" s="78">
        <f t="shared" si="47"/>
        <v>591135.9</v>
      </c>
      <c r="AF79" s="79">
        <v>429908</v>
      </c>
      <c r="AG79" s="79">
        <v>161227.94</v>
      </c>
      <c r="AH79" s="72">
        <f t="shared" si="48"/>
        <v>-190627.7</v>
      </c>
    </row>
    <row r="80" spans="1:34" hidden="1" x14ac:dyDescent="0.25">
      <c r="A80" s="59">
        <v>121</v>
      </c>
      <c r="B80" s="73" t="s">
        <v>124</v>
      </c>
      <c r="C80" s="333">
        <v>18.329999999999998</v>
      </c>
      <c r="D80" s="79"/>
      <c r="E80" s="72">
        <f t="shared" si="21"/>
        <v>18.329999999999998</v>
      </c>
      <c r="F80" s="63">
        <v>1.1399999999999999</v>
      </c>
      <c r="G80" s="76">
        <f t="shared" si="19"/>
        <v>20.9</v>
      </c>
      <c r="H80" s="77">
        <v>1980</v>
      </c>
      <c r="I80" s="331">
        <v>1.036</v>
      </c>
      <c r="J80" s="63">
        <v>1.1000000000000001</v>
      </c>
      <c r="K80" s="332">
        <f t="shared" si="37"/>
        <v>1.2E-2</v>
      </c>
      <c r="L80" s="332">
        <v>1</v>
      </c>
      <c r="M80" s="332"/>
      <c r="N80" s="66">
        <f t="shared" si="23"/>
        <v>21300</v>
      </c>
      <c r="O80" s="64">
        <v>1.8</v>
      </c>
      <c r="P80" s="7">
        <v>2.2000000000000002</v>
      </c>
      <c r="Q80" s="64">
        <v>1.302</v>
      </c>
      <c r="R80" s="7">
        <f t="shared" si="38"/>
        <v>1317853.2</v>
      </c>
      <c r="S80" s="7">
        <f t="shared" si="20"/>
        <v>15814.2</v>
      </c>
      <c r="T80" s="69">
        <f t="shared" si="39"/>
        <v>2E-3</v>
      </c>
      <c r="U80" s="7">
        <v>27093</v>
      </c>
      <c r="V80" s="7">
        <f t="shared" si="40"/>
        <v>59604.6</v>
      </c>
      <c r="W80" s="7">
        <f t="shared" si="41"/>
        <v>18000.599999999999</v>
      </c>
      <c r="X80" s="7">
        <f t="shared" si="42"/>
        <v>931262.3</v>
      </c>
      <c r="Y80" s="7">
        <f t="shared" si="29"/>
        <v>1862.5</v>
      </c>
      <c r="Z80" s="7">
        <f t="shared" si="30"/>
        <v>3535.3</v>
      </c>
      <c r="AA80" s="7">
        <f t="shared" si="43"/>
        <v>736.5</v>
      </c>
      <c r="AB80" s="71">
        <f t="shared" si="44"/>
        <v>21948.5</v>
      </c>
      <c r="AC80" s="71">
        <f t="shared" si="45"/>
        <v>12913.7</v>
      </c>
      <c r="AD80" s="71">
        <f t="shared" si="46"/>
        <v>9034.7999999999993</v>
      </c>
      <c r="AE80" s="78">
        <f t="shared" si="47"/>
        <v>29819.9</v>
      </c>
      <c r="AF80" s="79">
        <v>21686.75</v>
      </c>
      <c r="AG80" s="79">
        <v>8133.16</v>
      </c>
      <c r="AH80" s="72">
        <f t="shared" si="48"/>
        <v>-7871.4</v>
      </c>
    </row>
    <row r="81" spans="1:34" hidden="1" x14ac:dyDescent="0.25">
      <c r="A81" s="59">
        <v>121</v>
      </c>
      <c r="B81" s="73" t="s">
        <v>125</v>
      </c>
      <c r="C81" s="333"/>
      <c r="D81" s="79"/>
      <c r="E81" s="72">
        <f t="shared" si="21"/>
        <v>0</v>
      </c>
      <c r="F81" s="63">
        <v>1.1399999999999999</v>
      </c>
      <c r="G81" s="76">
        <f t="shared" si="19"/>
        <v>0</v>
      </c>
      <c r="H81" s="77">
        <v>1980</v>
      </c>
      <c r="I81" s="331">
        <v>1.9990000000000001</v>
      </c>
      <c r="J81" s="63">
        <v>1.1000000000000001</v>
      </c>
      <c r="K81" s="332">
        <f t="shared" si="37"/>
        <v>0</v>
      </c>
      <c r="L81" s="332">
        <v>1</v>
      </c>
      <c r="M81" s="332"/>
      <c r="N81" s="66">
        <f t="shared" si="23"/>
        <v>21300</v>
      </c>
      <c r="O81" s="64">
        <v>1.8</v>
      </c>
      <c r="P81" s="7">
        <v>2.2000000000000002</v>
      </c>
      <c r="Q81" s="64">
        <v>1.302</v>
      </c>
      <c r="R81" s="7">
        <f t="shared" si="38"/>
        <v>1317853.2</v>
      </c>
      <c r="S81" s="7">
        <f t="shared" si="20"/>
        <v>0</v>
      </c>
      <c r="T81" s="69">
        <f t="shared" si="39"/>
        <v>0</v>
      </c>
      <c r="U81" s="7">
        <v>27093</v>
      </c>
      <c r="V81" s="7">
        <f t="shared" si="40"/>
        <v>59604.6</v>
      </c>
      <c r="W81" s="7">
        <f t="shared" si="41"/>
        <v>18000.599999999999</v>
      </c>
      <c r="X81" s="7">
        <f t="shared" si="42"/>
        <v>931262.3</v>
      </c>
      <c r="Y81" s="7">
        <f t="shared" si="29"/>
        <v>0</v>
      </c>
      <c r="Z81" s="7">
        <f t="shared" si="30"/>
        <v>0</v>
      </c>
      <c r="AA81" s="7">
        <f t="shared" si="43"/>
        <v>0</v>
      </c>
      <c r="AB81" s="71">
        <f t="shared" si="44"/>
        <v>0</v>
      </c>
      <c r="AC81" s="71">
        <f t="shared" si="45"/>
        <v>0</v>
      </c>
      <c r="AD81" s="71">
        <f t="shared" si="46"/>
        <v>0</v>
      </c>
      <c r="AE81" s="78">
        <f t="shared" si="47"/>
        <v>7016.5</v>
      </c>
      <c r="AF81" s="79">
        <v>5102.7700000000004</v>
      </c>
      <c r="AG81" s="79">
        <v>1913.68</v>
      </c>
      <c r="AH81" s="72">
        <f t="shared" si="48"/>
        <v>-7016.5</v>
      </c>
    </row>
    <row r="82" spans="1:34" hidden="1" x14ac:dyDescent="0.25">
      <c r="A82" s="59">
        <v>121</v>
      </c>
      <c r="B82" s="73" t="s">
        <v>126</v>
      </c>
      <c r="C82" s="333">
        <v>76.67</v>
      </c>
      <c r="D82" s="79"/>
      <c r="E82" s="72">
        <f t="shared" si="21"/>
        <v>76.67</v>
      </c>
      <c r="F82" s="63">
        <v>1.1399999999999999</v>
      </c>
      <c r="G82" s="76">
        <f t="shared" si="19"/>
        <v>87.4</v>
      </c>
      <c r="H82" s="77">
        <v>1980</v>
      </c>
      <c r="I82" s="331">
        <v>1.1559999999999999</v>
      </c>
      <c r="J82" s="63">
        <v>1.1000000000000001</v>
      </c>
      <c r="K82" s="332">
        <f t="shared" si="37"/>
        <v>5.6099999999999997E-2</v>
      </c>
      <c r="L82" s="332">
        <v>1</v>
      </c>
      <c r="M82" s="332"/>
      <c r="N82" s="66">
        <f t="shared" si="23"/>
        <v>21300</v>
      </c>
      <c r="O82" s="64">
        <v>1.8</v>
      </c>
      <c r="P82" s="7">
        <v>2.2000000000000002</v>
      </c>
      <c r="Q82" s="64">
        <v>1.302</v>
      </c>
      <c r="R82" s="7">
        <f t="shared" si="38"/>
        <v>1317853.2</v>
      </c>
      <c r="S82" s="7">
        <f t="shared" si="20"/>
        <v>73931.600000000006</v>
      </c>
      <c r="T82" s="69">
        <f t="shared" si="39"/>
        <v>0.01</v>
      </c>
      <c r="U82" s="7">
        <v>27093</v>
      </c>
      <c r="V82" s="7">
        <f t="shared" si="40"/>
        <v>59604.6</v>
      </c>
      <c r="W82" s="7">
        <f t="shared" si="41"/>
        <v>18000.599999999999</v>
      </c>
      <c r="X82" s="7">
        <f t="shared" si="42"/>
        <v>931262.3</v>
      </c>
      <c r="Y82" s="7">
        <f t="shared" si="29"/>
        <v>9312.6</v>
      </c>
      <c r="Z82" s="7">
        <f t="shared" si="30"/>
        <v>16648.8</v>
      </c>
      <c r="AA82" s="7">
        <f t="shared" si="43"/>
        <v>3468.5</v>
      </c>
      <c r="AB82" s="71">
        <f t="shared" si="44"/>
        <v>103361.5</v>
      </c>
      <c r="AC82" s="71">
        <f t="shared" si="45"/>
        <v>60814.1</v>
      </c>
      <c r="AD82" s="71">
        <f t="shared" si="46"/>
        <v>42547.4</v>
      </c>
      <c r="AE82" s="78">
        <f t="shared" si="47"/>
        <v>145591.4</v>
      </c>
      <c r="AF82" s="79">
        <v>105882.39</v>
      </c>
      <c r="AG82" s="79">
        <v>39708.959999999999</v>
      </c>
      <c r="AH82" s="72">
        <f t="shared" si="48"/>
        <v>-42229.9</v>
      </c>
    </row>
    <row r="83" spans="1:34" hidden="1" x14ac:dyDescent="0.25">
      <c r="A83" s="59">
        <v>121</v>
      </c>
      <c r="B83" s="73" t="s">
        <v>127</v>
      </c>
      <c r="C83" s="333">
        <v>36</v>
      </c>
      <c r="D83" s="79"/>
      <c r="E83" s="72">
        <f t="shared" si="21"/>
        <v>36</v>
      </c>
      <c r="F83" s="63">
        <v>1.1399999999999999</v>
      </c>
      <c r="G83" s="76">
        <f t="shared" si="19"/>
        <v>41.04</v>
      </c>
      <c r="H83" s="77">
        <v>1980</v>
      </c>
      <c r="I83" s="331">
        <v>1.103</v>
      </c>
      <c r="J83" s="63">
        <v>1.1000000000000001</v>
      </c>
      <c r="K83" s="332">
        <f t="shared" si="37"/>
        <v>2.5100000000000001E-2</v>
      </c>
      <c r="L83" s="332">
        <v>1</v>
      </c>
      <c r="M83" s="332"/>
      <c r="N83" s="66">
        <f t="shared" si="23"/>
        <v>21300</v>
      </c>
      <c r="O83" s="64">
        <v>1.8</v>
      </c>
      <c r="P83" s="7">
        <v>2.2000000000000002</v>
      </c>
      <c r="Q83" s="64">
        <v>1.302</v>
      </c>
      <c r="R83" s="7">
        <f t="shared" si="38"/>
        <v>1317853.2</v>
      </c>
      <c r="S83" s="7">
        <f t="shared" si="20"/>
        <v>33078.1</v>
      </c>
      <c r="T83" s="69">
        <f t="shared" si="39"/>
        <v>5.0000000000000001E-3</v>
      </c>
      <c r="U83" s="7">
        <v>27093</v>
      </c>
      <c r="V83" s="7">
        <f t="shared" si="40"/>
        <v>59604.6</v>
      </c>
      <c r="W83" s="7">
        <f t="shared" si="41"/>
        <v>18000.599999999999</v>
      </c>
      <c r="X83" s="7">
        <f t="shared" si="42"/>
        <v>931262.3</v>
      </c>
      <c r="Y83" s="7">
        <f t="shared" si="29"/>
        <v>4656.3</v>
      </c>
      <c r="Z83" s="7">
        <f t="shared" si="30"/>
        <v>7546.9</v>
      </c>
      <c r="AA83" s="7">
        <f t="shared" si="43"/>
        <v>1572.3</v>
      </c>
      <c r="AB83" s="71">
        <f t="shared" si="44"/>
        <v>46853.599999999999</v>
      </c>
      <c r="AC83" s="71">
        <f t="shared" si="45"/>
        <v>27566.9</v>
      </c>
      <c r="AD83" s="71">
        <f t="shared" si="46"/>
        <v>19286.7</v>
      </c>
      <c r="AE83" s="78">
        <f t="shared" si="47"/>
        <v>68410.399999999994</v>
      </c>
      <c r="AF83" s="79">
        <v>49751.96</v>
      </c>
      <c r="AG83" s="79">
        <v>18658.43</v>
      </c>
      <c r="AH83" s="72">
        <f t="shared" si="48"/>
        <v>-21556.799999999999</v>
      </c>
    </row>
    <row r="84" spans="1:34" hidden="1" x14ac:dyDescent="0.25">
      <c r="A84" s="59">
        <v>121</v>
      </c>
      <c r="B84" s="73" t="s">
        <v>128</v>
      </c>
      <c r="C84" s="333">
        <v>588</v>
      </c>
      <c r="D84" s="79"/>
      <c r="E84" s="72">
        <f t="shared" si="21"/>
        <v>588</v>
      </c>
      <c r="F84" s="63">
        <v>1.1399999999999999</v>
      </c>
      <c r="G84" s="76">
        <f t="shared" si="19"/>
        <v>670.32</v>
      </c>
      <c r="H84" s="77">
        <v>1980</v>
      </c>
      <c r="I84" s="331">
        <v>1</v>
      </c>
      <c r="J84" s="63">
        <v>1.1000000000000001</v>
      </c>
      <c r="K84" s="332">
        <f t="shared" si="37"/>
        <v>0.37240000000000001</v>
      </c>
      <c r="L84" s="332">
        <v>1</v>
      </c>
      <c r="M84" s="332"/>
      <c r="N84" s="66">
        <f t="shared" si="23"/>
        <v>21300</v>
      </c>
      <c r="O84" s="64">
        <v>1.8</v>
      </c>
      <c r="P84" s="7">
        <v>2.2000000000000002</v>
      </c>
      <c r="Q84" s="64">
        <v>1.302</v>
      </c>
      <c r="R84" s="7">
        <f t="shared" si="38"/>
        <v>1317853.2</v>
      </c>
      <c r="S84" s="7">
        <f t="shared" si="20"/>
        <v>490768.5</v>
      </c>
      <c r="T84" s="69">
        <f t="shared" si="39"/>
        <v>6.8000000000000005E-2</v>
      </c>
      <c r="U84" s="7">
        <v>27093</v>
      </c>
      <c r="V84" s="7">
        <f t="shared" si="40"/>
        <v>59604.6</v>
      </c>
      <c r="W84" s="7">
        <f t="shared" si="41"/>
        <v>18000.599999999999</v>
      </c>
      <c r="X84" s="7">
        <f t="shared" si="42"/>
        <v>931262.3</v>
      </c>
      <c r="Y84" s="7">
        <f t="shared" si="29"/>
        <v>63325.8</v>
      </c>
      <c r="Z84" s="7">
        <f t="shared" si="30"/>
        <v>110818.9</v>
      </c>
      <c r="AA84" s="7">
        <f t="shared" si="43"/>
        <v>23087.3</v>
      </c>
      <c r="AB84" s="71">
        <f t="shared" si="44"/>
        <v>688000.5</v>
      </c>
      <c r="AC84" s="71">
        <f t="shared" si="45"/>
        <v>404794</v>
      </c>
      <c r="AD84" s="71">
        <f t="shared" si="46"/>
        <v>283206.5</v>
      </c>
      <c r="AE84" s="78">
        <f t="shared" si="47"/>
        <v>1135208.8999999999</v>
      </c>
      <c r="AF84" s="79">
        <v>825589.11</v>
      </c>
      <c r="AG84" s="79">
        <v>309619.8</v>
      </c>
      <c r="AH84" s="72">
        <f t="shared" si="48"/>
        <v>-447208.4</v>
      </c>
    </row>
    <row r="85" spans="1:34" s="347" customFormat="1" x14ac:dyDescent="0.25">
      <c r="A85" s="334">
        <v>122</v>
      </c>
      <c r="B85" s="335" t="s">
        <v>129</v>
      </c>
      <c r="C85" s="336">
        <v>575.66999999999996</v>
      </c>
      <c r="D85" s="337">
        <v>1874</v>
      </c>
      <c r="E85" s="338">
        <f t="shared" si="21"/>
        <v>2449.67</v>
      </c>
      <c r="F85" s="63">
        <v>1.1399999999999999</v>
      </c>
      <c r="G85" s="339">
        <f t="shared" si="19"/>
        <v>2792.62</v>
      </c>
      <c r="H85" s="340">
        <v>1980</v>
      </c>
      <c r="I85" s="341">
        <v>1.163</v>
      </c>
      <c r="J85" s="342">
        <v>1.1000000000000001</v>
      </c>
      <c r="K85" s="343">
        <f t="shared" si="37"/>
        <v>1.8043</v>
      </c>
      <c r="L85" s="343">
        <v>2</v>
      </c>
      <c r="M85" s="343">
        <f>K85-L85</f>
        <v>-0.19570000000000001</v>
      </c>
      <c r="N85" s="66">
        <f t="shared" si="23"/>
        <v>21300</v>
      </c>
      <c r="O85" s="344">
        <v>1.8</v>
      </c>
      <c r="P85" s="345">
        <v>2.2000000000000002</v>
      </c>
      <c r="Q85" s="344">
        <v>1.302</v>
      </c>
      <c r="R85" s="345">
        <f t="shared" si="38"/>
        <v>1317853.2</v>
      </c>
      <c r="S85" s="345">
        <f t="shared" si="20"/>
        <v>2377802.5</v>
      </c>
      <c r="T85" s="346">
        <f t="shared" si="39"/>
        <v>0.32800000000000001</v>
      </c>
      <c r="U85" s="7">
        <v>27093</v>
      </c>
      <c r="V85" s="7">
        <f t="shared" si="40"/>
        <v>59604.6</v>
      </c>
      <c r="W85" s="345">
        <f t="shared" si="41"/>
        <v>18000.599999999999</v>
      </c>
      <c r="X85" s="7">
        <f t="shared" si="42"/>
        <v>931262.3</v>
      </c>
      <c r="Y85" s="7">
        <f t="shared" si="29"/>
        <v>305454</v>
      </c>
      <c r="Z85" s="7">
        <f t="shared" si="30"/>
        <v>536651.30000000005</v>
      </c>
      <c r="AA85" s="7">
        <f t="shared" si="43"/>
        <v>111802.4</v>
      </c>
      <c r="AB85" s="71">
        <f t="shared" si="44"/>
        <v>3331710.2</v>
      </c>
      <c r="AC85" s="71">
        <f t="shared" si="45"/>
        <v>1960254.7</v>
      </c>
      <c r="AD85" s="71">
        <f t="shared" si="46"/>
        <v>1371455.5</v>
      </c>
      <c r="AE85" s="78">
        <f t="shared" si="47"/>
        <v>5050374.5999999996</v>
      </c>
      <c r="AF85" s="337">
        <v>3636556.84</v>
      </c>
      <c r="AG85" s="337">
        <v>1413817.74</v>
      </c>
      <c r="AH85" s="72">
        <f t="shared" si="48"/>
        <v>-1718664.4</v>
      </c>
    </row>
    <row r="86" spans="1:34" x14ac:dyDescent="0.25">
      <c r="A86" s="59">
        <v>122</v>
      </c>
      <c r="B86" s="73" t="s">
        <v>130</v>
      </c>
      <c r="C86" s="333">
        <v>5</v>
      </c>
      <c r="D86" s="79"/>
      <c r="E86" s="72">
        <f t="shared" si="21"/>
        <v>5</v>
      </c>
      <c r="F86" s="63">
        <v>1.1399999999999999</v>
      </c>
      <c r="G86" s="76">
        <f t="shared" si="19"/>
        <v>5.7</v>
      </c>
      <c r="H86" s="77">
        <v>1980</v>
      </c>
      <c r="I86" s="331">
        <v>1.401</v>
      </c>
      <c r="J86" s="63">
        <v>1.1000000000000001</v>
      </c>
      <c r="K86" s="332">
        <f t="shared" si="37"/>
        <v>4.4000000000000003E-3</v>
      </c>
      <c r="L86" s="332">
        <v>1</v>
      </c>
      <c r="M86" s="332"/>
      <c r="N86" s="66">
        <f t="shared" si="23"/>
        <v>21300</v>
      </c>
      <c r="O86" s="64">
        <v>1.8</v>
      </c>
      <c r="P86" s="7">
        <v>2.2000000000000002</v>
      </c>
      <c r="Q86" s="64">
        <v>1.302</v>
      </c>
      <c r="R86" s="7">
        <f t="shared" si="38"/>
        <v>1317853.2</v>
      </c>
      <c r="S86" s="7">
        <f t="shared" si="20"/>
        <v>5798.6</v>
      </c>
      <c r="T86" s="69">
        <f t="shared" si="39"/>
        <v>1E-3</v>
      </c>
      <c r="U86" s="7">
        <v>27093</v>
      </c>
      <c r="V86" s="7">
        <f t="shared" si="40"/>
        <v>59604.6</v>
      </c>
      <c r="W86" s="7">
        <f t="shared" si="41"/>
        <v>18000.599999999999</v>
      </c>
      <c r="X86" s="7">
        <f t="shared" si="42"/>
        <v>931262.3</v>
      </c>
      <c r="Y86" s="7">
        <f t="shared" si="29"/>
        <v>931.3</v>
      </c>
      <c r="Z86" s="7">
        <f t="shared" si="30"/>
        <v>1346</v>
      </c>
      <c r="AA86" s="7">
        <f t="shared" si="43"/>
        <v>280.39999999999998</v>
      </c>
      <c r="AB86" s="71">
        <f t="shared" si="44"/>
        <v>8356.2999999999993</v>
      </c>
      <c r="AC86" s="71">
        <f t="shared" si="45"/>
        <v>4916.5</v>
      </c>
      <c r="AD86" s="71">
        <f t="shared" si="46"/>
        <v>3439.8</v>
      </c>
      <c r="AE86" s="78">
        <f t="shared" si="47"/>
        <v>17541.099999999999</v>
      </c>
      <c r="AF86" s="79">
        <v>12756.91</v>
      </c>
      <c r="AG86" s="79">
        <v>4784.21</v>
      </c>
      <c r="AH86" s="72">
        <f t="shared" si="48"/>
        <v>-9184.7999999999993</v>
      </c>
    </row>
    <row r="87" spans="1:34" x14ac:dyDescent="0.25">
      <c r="A87" s="59">
        <v>122</v>
      </c>
      <c r="B87" s="73" t="s">
        <v>131</v>
      </c>
      <c r="C87" s="333">
        <v>93.33</v>
      </c>
      <c r="D87" s="79"/>
      <c r="E87" s="72">
        <f t="shared" si="21"/>
        <v>93.33</v>
      </c>
      <c r="F87" s="63">
        <v>1.1399999999999999</v>
      </c>
      <c r="G87" s="76">
        <f t="shared" si="19"/>
        <v>106.4</v>
      </c>
      <c r="H87" s="77">
        <v>1980</v>
      </c>
      <c r="I87" s="331">
        <v>1.0740000000000001</v>
      </c>
      <c r="J87" s="63">
        <v>1.1000000000000001</v>
      </c>
      <c r="K87" s="332">
        <f t="shared" si="37"/>
        <v>6.3500000000000001E-2</v>
      </c>
      <c r="L87" s="332">
        <v>1</v>
      </c>
      <c r="M87" s="332"/>
      <c r="N87" s="66">
        <f t="shared" si="23"/>
        <v>21300</v>
      </c>
      <c r="O87" s="64">
        <v>1.8</v>
      </c>
      <c r="P87" s="7">
        <v>2.2000000000000002</v>
      </c>
      <c r="Q87" s="64">
        <v>1.302</v>
      </c>
      <c r="R87" s="7">
        <f t="shared" si="38"/>
        <v>1317853.2</v>
      </c>
      <c r="S87" s="7">
        <f t="shared" si="20"/>
        <v>83683.7</v>
      </c>
      <c r="T87" s="69">
        <f t="shared" si="39"/>
        <v>1.2E-2</v>
      </c>
      <c r="U87" s="7">
        <v>27093</v>
      </c>
      <c r="V87" s="7">
        <f t="shared" si="40"/>
        <v>59604.6</v>
      </c>
      <c r="W87" s="7">
        <f t="shared" si="41"/>
        <v>18000.599999999999</v>
      </c>
      <c r="X87" s="7">
        <f t="shared" si="42"/>
        <v>931262.3</v>
      </c>
      <c r="Y87" s="7">
        <f t="shared" si="29"/>
        <v>11175.1</v>
      </c>
      <c r="Z87" s="7">
        <f t="shared" si="30"/>
        <v>18971.8</v>
      </c>
      <c r="AA87" s="7">
        <f t="shared" si="43"/>
        <v>3952.5</v>
      </c>
      <c r="AB87" s="71">
        <f t="shared" si="44"/>
        <v>117783.1</v>
      </c>
      <c r="AC87" s="71">
        <f t="shared" si="45"/>
        <v>69299.199999999997</v>
      </c>
      <c r="AD87" s="71">
        <f t="shared" si="46"/>
        <v>48483.9</v>
      </c>
      <c r="AE87" s="78">
        <f t="shared" si="47"/>
        <v>191198.3</v>
      </c>
      <c r="AF87" s="79">
        <v>139050.35999999999</v>
      </c>
      <c r="AG87" s="79">
        <v>52147.91</v>
      </c>
      <c r="AH87" s="72">
        <f t="shared" si="48"/>
        <v>-73415.199999999997</v>
      </c>
    </row>
    <row r="88" spans="1:34" x14ac:dyDescent="0.25">
      <c r="A88" s="59">
        <v>122</v>
      </c>
      <c r="B88" s="73" t="s">
        <v>132</v>
      </c>
      <c r="C88" s="333">
        <v>2</v>
      </c>
      <c r="D88" s="79"/>
      <c r="E88" s="72">
        <f t="shared" si="21"/>
        <v>2</v>
      </c>
      <c r="F88" s="63">
        <v>1.1399999999999999</v>
      </c>
      <c r="G88" s="76">
        <f t="shared" si="19"/>
        <v>2.2799999999999998</v>
      </c>
      <c r="H88" s="77">
        <v>1980</v>
      </c>
      <c r="I88" s="331">
        <v>1.2829999999999999</v>
      </c>
      <c r="J88" s="63">
        <v>1.1000000000000001</v>
      </c>
      <c r="K88" s="332">
        <f t="shared" si="37"/>
        <v>1.6000000000000001E-3</v>
      </c>
      <c r="L88" s="332">
        <v>1</v>
      </c>
      <c r="M88" s="332"/>
      <c r="N88" s="66">
        <f t="shared" si="23"/>
        <v>21300</v>
      </c>
      <c r="O88" s="64">
        <v>1.8</v>
      </c>
      <c r="P88" s="7">
        <v>2.2000000000000002</v>
      </c>
      <c r="Q88" s="64">
        <v>1.302</v>
      </c>
      <c r="R88" s="7">
        <f t="shared" si="38"/>
        <v>1317853.2</v>
      </c>
      <c r="S88" s="7">
        <f t="shared" si="20"/>
        <v>2108.6</v>
      </c>
      <c r="T88" s="69">
        <f t="shared" si="39"/>
        <v>0</v>
      </c>
      <c r="U88" s="7">
        <v>27093</v>
      </c>
      <c r="V88" s="7">
        <f t="shared" si="40"/>
        <v>59604.6</v>
      </c>
      <c r="W88" s="7">
        <f t="shared" si="41"/>
        <v>18000.599999999999</v>
      </c>
      <c r="X88" s="7">
        <f t="shared" si="42"/>
        <v>931262.3</v>
      </c>
      <c r="Y88" s="7">
        <f t="shared" si="29"/>
        <v>0</v>
      </c>
      <c r="Z88" s="7">
        <f t="shared" si="30"/>
        <v>421.7</v>
      </c>
      <c r="AA88" s="7">
        <f t="shared" si="43"/>
        <v>87.9</v>
      </c>
      <c r="AB88" s="71">
        <f t="shared" si="44"/>
        <v>2618.1999999999998</v>
      </c>
      <c r="AC88" s="71">
        <f t="shared" si="45"/>
        <v>1540.5</v>
      </c>
      <c r="AD88" s="71">
        <f t="shared" si="46"/>
        <v>1077.7</v>
      </c>
      <c r="AE88" s="78">
        <f t="shared" si="47"/>
        <v>8770.6</v>
      </c>
      <c r="AF88" s="79">
        <v>6378.46</v>
      </c>
      <c r="AG88" s="79">
        <v>2392.11</v>
      </c>
      <c r="AH88" s="72">
        <f t="shared" si="48"/>
        <v>-6152.4</v>
      </c>
    </row>
    <row r="89" spans="1:34" x14ac:dyDescent="0.25">
      <c r="A89" s="59">
        <v>122</v>
      </c>
      <c r="B89" s="73" t="s">
        <v>133</v>
      </c>
      <c r="C89" s="333">
        <v>14.67</v>
      </c>
      <c r="D89" s="79"/>
      <c r="E89" s="72">
        <f t="shared" si="21"/>
        <v>14.67</v>
      </c>
      <c r="F89" s="63">
        <v>1.1399999999999999</v>
      </c>
      <c r="G89" s="76">
        <f t="shared" si="19"/>
        <v>16.72</v>
      </c>
      <c r="H89" s="77">
        <v>1980</v>
      </c>
      <c r="I89" s="331">
        <v>1.28</v>
      </c>
      <c r="J89" s="63">
        <v>1.1000000000000001</v>
      </c>
      <c r="K89" s="332">
        <f t="shared" si="37"/>
        <v>1.1900000000000001E-2</v>
      </c>
      <c r="L89" s="332">
        <v>1</v>
      </c>
      <c r="M89" s="332"/>
      <c r="N89" s="66">
        <f t="shared" si="23"/>
        <v>21300</v>
      </c>
      <c r="O89" s="64">
        <v>1.8</v>
      </c>
      <c r="P89" s="7">
        <v>2.2000000000000002</v>
      </c>
      <c r="Q89" s="64">
        <v>1.302</v>
      </c>
      <c r="R89" s="7">
        <f t="shared" si="38"/>
        <v>1317853.2</v>
      </c>
      <c r="S89" s="7">
        <f t="shared" si="20"/>
        <v>15682.5</v>
      </c>
      <c r="T89" s="69">
        <f t="shared" si="39"/>
        <v>2E-3</v>
      </c>
      <c r="U89" s="7">
        <v>27093</v>
      </c>
      <c r="V89" s="7">
        <f t="shared" si="40"/>
        <v>59604.6</v>
      </c>
      <c r="W89" s="7">
        <f t="shared" si="41"/>
        <v>18000.599999999999</v>
      </c>
      <c r="X89" s="7">
        <f t="shared" si="42"/>
        <v>931262.3</v>
      </c>
      <c r="Y89" s="7">
        <f t="shared" si="29"/>
        <v>1862.5</v>
      </c>
      <c r="Z89" s="7">
        <f t="shared" si="30"/>
        <v>3509</v>
      </c>
      <c r="AA89" s="7">
        <f t="shared" si="43"/>
        <v>731</v>
      </c>
      <c r="AB89" s="71">
        <f t="shared" si="44"/>
        <v>21785</v>
      </c>
      <c r="AC89" s="71">
        <f t="shared" si="45"/>
        <v>12817.5</v>
      </c>
      <c r="AD89" s="71">
        <f t="shared" si="46"/>
        <v>8967.5</v>
      </c>
      <c r="AE89" s="78">
        <f t="shared" si="47"/>
        <v>38590.5</v>
      </c>
      <c r="AF89" s="79">
        <v>28065.21</v>
      </c>
      <c r="AG89" s="79">
        <v>10525.27</v>
      </c>
      <c r="AH89" s="72">
        <f t="shared" si="48"/>
        <v>-16805.5</v>
      </c>
    </row>
    <row r="90" spans="1:34" x14ac:dyDescent="0.25">
      <c r="A90" s="59">
        <v>122</v>
      </c>
      <c r="B90" s="73" t="s">
        <v>134</v>
      </c>
      <c r="C90" s="333">
        <v>7.33</v>
      </c>
      <c r="D90" s="79"/>
      <c r="E90" s="72">
        <f t="shared" si="21"/>
        <v>7.33</v>
      </c>
      <c r="F90" s="63">
        <v>1.1399999999999999</v>
      </c>
      <c r="G90" s="76">
        <f t="shared" si="19"/>
        <v>8.36</v>
      </c>
      <c r="H90" s="77">
        <v>1980</v>
      </c>
      <c r="I90" s="331">
        <v>1.296</v>
      </c>
      <c r="J90" s="63">
        <v>1.1000000000000001</v>
      </c>
      <c r="K90" s="332">
        <f t="shared" si="37"/>
        <v>6.0000000000000001E-3</v>
      </c>
      <c r="L90" s="332">
        <v>1</v>
      </c>
      <c r="M90" s="332"/>
      <c r="N90" s="66">
        <f t="shared" si="23"/>
        <v>21300</v>
      </c>
      <c r="O90" s="64">
        <v>1.8</v>
      </c>
      <c r="P90" s="7">
        <v>2.2000000000000002</v>
      </c>
      <c r="Q90" s="64">
        <v>1.302</v>
      </c>
      <c r="R90" s="7">
        <f t="shared" si="38"/>
        <v>1317853.2</v>
      </c>
      <c r="S90" s="7">
        <f t="shared" si="20"/>
        <v>7907.1</v>
      </c>
      <c r="T90" s="69">
        <f t="shared" si="39"/>
        <v>1E-3</v>
      </c>
      <c r="U90" s="7">
        <v>27093</v>
      </c>
      <c r="V90" s="7">
        <f t="shared" si="40"/>
        <v>59604.6</v>
      </c>
      <c r="W90" s="7">
        <f t="shared" si="41"/>
        <v>18000.599999999999</v>
      </c>
      <c r="X90" s="7">
        <f t="shared" si="42"/>
        <v>931262.3</v>
      </c>
      <c r="Y90" s="7">
        <f t="shared" si="29"/>
        <v>931.3</v>
      </c>
      <c r="Z90" s="7">
        <f t="shared" si="30"/>
        <v>1767.7</v>
      </c>
      <c r="AA90" s="7">
        <f t="shared" si="43"/>
        <v>368.3</v>
      </c>
      <c r="AB90" s="71">
        <f t="shared" si="44"/>
        <v>10974.4</v>
      </c>
      <c r="AC90" s="71">
        <f t="shared" si="45"/>
        <v>6456.9</v>
      </c>
      <c r="AD90" s="71">
        <f t="shared" si="46"/>
        <v>4517.5</v>
      </c>
      <c r="AE90" s="78">
        <f t="shared" si="47"/>
        <v>15787</v>
      </c>
      <c r="AF90" s="79">
        <v>11481.22</v>
      </c>
      <c r="AG90" s="79">
        <v>4305.79</v>
      </c>
      <c r="AH90" s="72">
        <f t="shared" si="48"/>
        <v>-4812.6000000000004</v>
      </c>
    </row>
    <row r="91" spans="1:34" x14ac:dyDescent="0.25">
      <c r="A91" s="59">
        <v>122</v>
      </c>
      <c r="B91" s="73" t="s">
        <v>135</v>
      </c>
      <c r="C91" s="333">
        <v>2</v>
      </c>
      <c r="D91" s="79"/>
      <c r="E91" s="72">
        <f t="shared" si="21"/>
        <v>2</v>
      </c>
      <c r="F91" s="63">
        <v>1.1399999999999999</v>
      </c>
      <c r="G91" s="76">
        <f t="shared" si="19"/>
        <v>2.2799999999999998</v>
      </c>
      <c r="H91" s="77">
        <v>1980</v>
      </c>
      <c r="I91" s="331">
        <v>1</v>
      </c>
      <c r="J91" s="63">
        <v>1.1000000000000001</v>
      </c>
      <c r="K91" s="332">
        <f t="shared" si="37"/>
        <v>1.2999999999999999E-3</v>
      </c>
      <c r="L91" s="332">
        <v>1</v>
      </c>
      <c r="M91" s="332"/>
      <c r="N91" s="66">
        <f t="shared" si="23"/>
        <v>21300</v>
      </c>
      <c r="O91" s="64">
        <v>1.8</v>
      </c>
      <c r="P91" s="7">
        <v>2.2000000000000002</v>
      </c>
      <c r="Q91" s="64">
        <v>1.302</v>
      </c>
      <c r="R91" s="7">
        <f t="shared" si="38"/>
        <v>1317853.2</v>
      </c>
      <c r="S91" s="7">
        <f t="shared" si="20"/>
        <v>1713.2</v>
      </c>
      <c r="T91" s="69">
        <f t="shared" si="39"/>
        <v>0</v>
      </c>
      <c r="U91" s="7">
        <v>27093</v>
      </c>
      <c r="V91" s="7">
        <f t="shared" si="40"/>
        <v>59604.6</v>
      </c>
      <c r="W91" s="7">
        <f t="shared" si="41"/>
        <v>18000.599999999999</v>
      </c>
      <c r="X91" s="7">
        <f t="shared" si="42"/>
        <v>931262.3</v>
      </c>
      <c r="Y91" s="7">
        <f t="shared" si="29"/>
        <v>0</v>
      </c>
      <c r="Z91" s="7">
        <f t="shared" si="30"/>
        <v>342.6</v>
      </c>
      <c r="AA91" s="7">
        <f t="shared" si="43"/>
        <v>71.400000000000006</v>
      </c>
      <c r="AB91" s="71">
        <f t="shared" si="44"/>
        <v>2127.1999999999998</v>
      </c>
      <c r="AC91" s="71">
        <f t="shared" si="45"/>
        <v>1251.5999999999999</v>
      </c>
      <c r="AD91" s="71">
        <f t="shared" si="46"/>
        <v>875.6</v>
      </c>
      <c r="AE91" s="78">
        <f t="shared" si="47"/>
        <v>10524.7</v>
      </c>
      <c r="AF91" s="79">
        <v>7654.15</v>
      </c>
      <c r="AG91" s="79">
        <v>2870.53</v>
      </c>
      <c r="AH91" s="72">
        <f t="shared" si="48"/>
        <v>-8397.5</v>
      </c>
    </row>
    <row r="92" spans="1:34" x14ac:dyDescent="0.25">
      <c r="A92" s="59">
        <v>122</v>
      </c>
      <c r="B92" s="115" t="s">
        <v>136</v>
      </c>
      <c r="C92" s="349">
        <v>13.33</v>
      </c>
      <c r="D92" s="350"/>
      <c r="E92" s="72">
        <f t="shared" si="21"/>
        <v>13.33</v>
      </c>
      <c r="F92" s="63">
        <v>1.1399999999999999</v>
      </c>
      <c r="G92" s="118">
        <f t="shared" si="19"/>
        <v>15.2</v>
      </c>
      <c r="H92" s="119">
        <v>1980</v>
      </c>
      <c r="I92" s="331">
        <v>1.169</v>
      </c>
      <c r="J92" s="63">
        <v>1.1000000000000001</v>
      </c>
      <c r="K92" s="332">
        <f t="shared" si="37"/>
        <v>9.9000000000000008E-3</v>
      </c>
      <c r="L92" s="332">
        <v>1</v>
      </c>
      <c r="M92" s="332"/>
      <c r="N92" s="66">
        <f t="shared" si="23"/>
        <v>21300</v>
      </c>
      <c r="O92" s="64">
        <v>1.8</v>
      </c>
      <c r="P92" s="120">
        <v>2.2000000000000002</v>
      </c>
      <c r="Q92" s="119">
        <v>1.302</v>
      </c>
      <c r="R92" s="7">
        <f t="shared" si="38"/>
        <v>1317853.2</v>
      </c>
      <c r="S92" s="7">
        <f t="shared" si="20"/>
        <v>13046.7</v>
      </c>
      <c r="T92" s="69">
        <f t="shared" si="39"/>
        <v>2E-3</v>
      </c>
      <c r="U92" s="7">
        <v>27093</v>
      </c>
      <c r="V92" s="7">
        <f t="shared" si="40"/>
        <v>59604.6</v>
      </c>
      <c r="W92" s="7">
        <f t="shared" si="41"/>
        <v>18000.599999999999</v>
      </c>
      <c r="X92" s="7">
        <f t="shared" si="42"/>
        <v>931262.3</v>
      </c>
      <c r="Y92" s="7">
        <f t="shared" si="29"/>
        <v>1862.5</v>
      </c>
      <c r="Z92" s="7">
        <f t="shared" si="30"/>
        <v>2981.8</v>
      </c>
      <c r="AA92" s="7">
        <f t="shared" si="43"/>
        <v>621.20000000000005</v>
      </c>
      <c r="AB92" s="71">
        <f t="shared" si="44"/>
        <v>18512.2</v>
      </c>
      <c r="AC92" s="71">
        <f t="shared" si="45"/>
        <v>10891.9</v>
      </c>
      <c r="AD92" s="71">
        <f t="shared" si="46"/>
        <v>7620.3</v>
      </c>
      <c r="AE92" s="78">
        <f t="shared" si="47"/>
        <v>22803.5</v>
      </c>
      <c r="AF92" s="79">
        <v>16583.990000000002</v>
      </c>
      <c r="AG92" s="79">
        <v>6219.48</v>
      </c>
      <c r="AH92" s="121">
        <f t="shared" si="48"/>
        <v>-4291.3</v>
      </c>
    </row>
    <row r="93" spans="1:34" x14ac:dyDescent="0.25">
      <c r="A93" s="122"/>
      <c r="B93" s="123" t="s">
        <v>137</v>
      </c>
      <c r="C93" s="351">
        <f>SUM(C6:C92)</f>
        <v>54830.3</v>
      </c>
      <c r="D93" s="351">
        <f t="shared" ref="D93:E93" si="49">SUM(D6:D92)</f>
        <v>218765.7</v>
      </c>
      <c r="E93" s="351">
        <f t="shared" si="49"/>
        <v>273596</v>
      </c>
      <c r="F93" s="125"/>
      <c r="G93" s="126"/>
      <c r="H93" s="126"/>
      <c r="I93" s="352"/>
      <c r="J93" s="125"/>
      <c r="K93" s="132">
        <f t="shared" ref="K93:AA93" si="50">SUM(K6:K92)</f>
        <v>174.8</v>
      </c>
      <c r="L93" s="132">
        <f t="shared" si="50"/>
        <v>167</v>
      </c>
      <c r="M93" s="132"/>
      <c r="N93" s="126"/>
      <c r="O93" s="126"/>
      <c r="P93" s="128"/>
      <c r="Q93" s="128"/>
      <c r="R93" s="132">
        <f>SUM(R6:R92)</f>
        <v>116989422</v>
      </c>
      <c r="S93" s="132">
        <f>SUM(S6:S92)</f>
        <v>231455833.30000001</v>
      </c>
      <c r="T93" s="353">
        <f t="shared" si="50"/>
        <v>31.777000000000001</v>
      </c>
      <c r="U93" s="132"/>
      <c r="V93" s="132"/>
      <c r="W93" s="132"/>
      <c r="X93" s="132"/>
      <c r="Y93" s="132">
        <f>SUM(Y6:Y92)</f>
        <v>29733046.399999999</v>
      </c>
      <c r="Z93" s="132">
        <f>SUM(Z6:Z92)</f>
        <v>52237776.200000003</v>
      </c>
      <c r="AA93" s="132">
        <f t="shared" si="50"/>
        <v>10882869.9</v>
      </c>
      <c r="AB93" s="134">
        <f>SUM(AB6:AB92)</f>
        <v>324309525.80000001</v>
      </c>
      <c r="AC93" s="134">
        <v>190811700</v>
      </c>
      <c r="AD93" s="134">
        <f>SUM(AD6:AD92)</f>
        <v>133497825.90000001</v>
      </c>
      <c r="AE93" s="134">
        <f t="shared" ref="AE93:AG93" si="51">SUM(AE6:AE92)</f>
        <v>246737692.5</v>
      </c>
      <c r="AF93" s="134">
        <f t="shared" si="51"/>
        <v>177749189.80000001</v>
      </c>
      <c r="AG93" s="134">
        <f t="shared" si="51"/>
        <v>68988502.099999994</v>
      </c>
      <c r="AH93" s="135">
        <f t="shared" si="48"/>
        <v>77571833.299999997</v>
      </c>
    </row>
    <row r="94" spans="1:34" x14ac:dyDescent="0.25">
      <c r="AB94" s="136">
        <f>AB93/1000</f>
        <v>324309.5</v>
      </c>
    </row>
    <row r="95" spans="1:34" ht="15.75" x14ac:dyDescent="0.25">
      <c r="Z95" s="137" t="s">
        <v>138</v>
      </c>
      <c r="AA95" s="138" t="s">
        <v>139</v>
      </c>
      <c r="AB95" s="136">
        <f>Смрi!Q16</f>
        <v>497.6</v>
      </c>
      <c r="AC95" s="136">
        <f>(AD93/1000)+AB95</f>
        <v>133995.4</v>
      </c>
    </row>
    <row r="96" spans="1:34" ht="15.75" x14ac:dyDescent="0.25">
      <c r="Z96" s="137"/>
      <c r="AA96" s="167"/>
      <c r="AB96" s="136">
        <v>1199</v>
      </c>
    </row>
    <row r="97" spans="19:30" x14ac:dyDescent="0.25">
      <c r="X97" s="136">
        <f>AB6+AB7+AB8+AB9+AB10+AB11+AB12+AB13+AB15+AB14+AB16+AB17+AB18+AB19+AB26+AB32+AB42+AB47+AB55+AB64+AB72+AB85</f>
        <v>317419450.39999998</v>
      </c>
      <c r="AA97" s="140" t="s">
        <v>141</v>
      </c>
      <c r="AB97" s="141">
        <f>AB94+AB95+AB96</f>
        <v>326006.09999999998</v>
      </c>
      <c r="AD97" s="136"/>
    </row>
    <row r="98" spans="19:30" x14ac:dyDescent="0.25">
      <c r="AB98" s="136"/>
    </row>
    <row r="99" spans="19:30" x14ac:dyDescent="0.25">
      <c r="S99" s="136"/>
      <c r="AB99" s="139"/>
      <c r="AC99" s="139"/>
    </row>
    <row r="100" spans="19:30" x14ac:dyDescent="0.25">
      <c r="AB100" s="139"/>
    </row>
    <row r="101" spans="19:30" x14ac:dyDescent="0.25">
      <c r="AA101" s="347"/>
      <c r="AB101" s="355"/>
    </row>
    <row r="103" spans="19:30" x14ac:dyDescent="0.25">
      <c r="AA103" s="347"/>
      <c r="AB103" s="355"/>
    </row>
    <row r="104" spans="19:30" x14ac:dyDescent="0.25">
      <c r="AB104" s="139"/>
    </row>
    <row r="105" spans="19:30" x14ac:dyDescent="0.25">
      <c r="AB105" s="139"/>
      <c r="AD105" s="139"/>
    </row>
    <row r="107" spans="19:30" x14ac:dyDescent="0.25">
      <c r="AB107" s="136"/>
    </row>
    <row r="108" spans="19:30" x14ac:dyDescent="0.25">
      <c r="AB108" s="136"/>
    </row>
    <row r="109" spans="19:30" x14ac:dyDescent="0.25">
      <c r="AB109" s="136"/>
    </row>
    <row r="110" spans="19:30" x14ac:dyDescent="0.25">
      <c r="AB110" s="356"/>
      <c r="AC110" s="356"/>
      <c r="AD110" s="356"/>
    </row>
    <row r="111" spans="19:30" x14ac:dyDescent="0.25">
      <c r="AA111" s="137"/>
    </row>
    <row r="113" spans="27:30" x14ac:dyDescent="0.25">
      <c r="AA113" s="137"/>
    </row>
    <row r="114" spans="27:30" x14ac:dyDescent="0.25">
      <c r="AB114" s="347"/>
      <c r="AC114" s="347"/>
      <c r="AD114" s="347"/>
    </row>
    <row r="117" spans="27:30" x14ac:dyDescent="0.25">
      <c r="AA117" s="137"/>
    </row>
    <row r="118" spans="27:30" x14ac:dyDescent="0.25">
      <c r="AA118" s="137"/>
    </row>
    <row r="119" spans="27:30" x14ac:dyDescent="0.25">
      <c r="AB119" s="347"/>
      <c r="AC119" s="347"/>
      <c r="AD119" s="347"/>
    </row>
  </sheetData>
  <autoFilter ref="A4:AB93" xr:uid="{00000000-0009-0000-0000-000001000000}"/>
  <mergeCells count="10">
    <mergeCell ref="AE3:AG3"/>
    <mergeCell ref="AH3:AH4"/>
    <mergeCell ref="A1:AB1"/>
    <mergeCell ref="A2:AB2"/>
    <mergeCell ref="A3:A4"/>
    <mergeCell ref="B3:B4"/>
    <mergeCell ref="C3:E3"/>
    <mergeCell ref="F3:M3"/>
    <mergeCell ref="N3:S3"/>
    <mergeCell ref="AB3:AD3"/>
  </mergeCells>
  <pageMargins left="0" right="0" top="0" bottom="0" header="0" footer="0"/>
  <pageSetup paperSize="9" scale="70" fitToWidth="2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36"/>
  <sheetViews>
    <sheetView topLeftCell="J4" workbookViewId="0">
      <selection activeCell="Z5" sqref="Z5"/>
    </sheetView>
  </sheetViews>
  <sheetFormatPr defaultRowHeight="15" x14ac:dyDescent="0.25"/>
  <cols>
    <col min="1" max="1" width="6.28515625" customWidth="1"/>
    <col min="2" max="2" width="21.7109375" customWidth="1"/>
    <col min="3" max="6" width="15.7109375" customWidth="1"/>
    <col min="7" max="7" width="7.28515625" customWidth="1"/>
    <col min="9" max="9" width="24.140625" customWidth="1"/>
    <col min="10" max="10" width="21.7109375" customWidth="1"/>
    <col min="11" max="16" width="15.7109375" customWidth="1"/>
    <col min="17" max="17" width="15.5703125" customWidth="1"/>
    <col min="19" max="19" width="23.140625" customWidth="1"/>
    <col min="20" max="20" width="13.7109375" customWidth="1"/>
    <col min="21" max="21" width="12.140625" customWidth="1"/>
    <col min="22" max="22" width="15.85546875" customWidth="1"/>
    <col min="23" max="23" width="16.28515625" customWidth="1"/>
    <col min="24" max="24" width="15.7109375" customWidth="1"/>
    <col min="25" max="25" width="13" customWidth="1"/>
    <col min="26" max="26" width="14.28515625" customWidth="1"/>
  </cols>
  <sheetData>
    <row r="1" spans="1:25" ht="16.5" customHeight="1" x14ac:dyDescent="0.25">
      <c r="A1" s="420" t="s">
        <v>467</v>
      </c>
      <c r="B1" s="420"/>
      <c r="C1" s="420"/>
      <c r="D1" s="420"/>
      <c r="E1" s="420"/>
      <c r="F1" s="420"/>
      <c r="G1" s="142"/>
      <c r="H1" s="389" t="s">
        <v>464</v>
      </c>
      <c r="I1" s="390"/>
      <c r="J1" s="390"/>
      <c r="K1" s="390"/>
      <c r="L1" s="390"/>
      <c r="M1" s="390"/>
      <c r="N1" s="390"/>
      <c r="O1" s="390"/>
      <c r="P1" s="391"/>
      <c r="R1" s="389" t="s">
        <v>465</v>
      </c>
      <c r="S1" s="390"/>
      <c r="T1" s="390"/>
      <c r="U1" s="390"/>
      <c r="V1" s="390"/>
      <c r="W1" s="390"/>
      <c r="X1" s="390"/>
      <c r="Y1" s="391"/>
    </row>
    <row r="2" spans="1:25" ht="96.75" customHeight="1" thickBot="1" x14ac:dyDescent="0.3">
      <c r="A2" s="393"/>
      <c r="B2" s="393"/>
      <c r="C2" s="393"/>
      <c r="D2" s="393"/>
      <c r="E2" s="393"/>
      <c r="F2" s="393"/>
      <c r="G2" s="142"/>
      <c r="H2" s="392"/>
      <c r="I2" s="393"/>
      <c r="J2" s="393"/>
      <c r="K2" s="393"/>
      <c r="L2" s="393"/>
      <c r="M2" s="393"/>
      <c r="N2" s="393"/>
      <c r="O2" s="393"/>
      <c r="P2" s="394"/>
      <c r="R2" s="392"/>
      <c r="S2" s="393"/>
      <c r="T2" s="393"/>
      <c r="U2" s="393"/>
      <c r="V2" s="393"/>
      <c r="W2" s="393"/>
      <c r="X2" s="393"/>
      <c r="Y2" s="394"/>
    </row>
    <row r="3" spans="1:25" ht="26.25" customHeight="1" thickBot="1" x14ac:dyDescent="0.3">
      <c r="A3" s="360" t="s">
        <v>146</v>
      </c>
      <c r="B3" s="421" t="s">
        <v>147</v>
      </c>
      <c r="C3" s="423">
        <v>2026</v>
      </c>
      <c r="D3" s="423"/>
      <c r="E3" s="423"/>
      <c r="F3" s="360" t="s">
        <v>466</v>
      </c>
      <c r="G3" s="143"/>
      <c r="H3" s="360" t="s">
        <v>146</v>
      </c>
      <c r="I3" s="411" t="s">
        <v>147</v>
      </c>
      <c r="J3" s="404">
        <v>2026</v>
      </c>
      <c r="K3" s="413"/>
      <c r="L3" s="414"/>
      <c r="M3" s="360" t="s">
        <v>466</v>
      </c>
      <c r="N3" s="418" t="s">
        <v>460</v>
      </c>
      <c r="O3" s="400" t="s">
        <v>461</v>
      </c>
      <c r="P3" s="402" t="s">
        <v>457</v>
      </c>
      <c r="R3" s="398" t="s">
        <v>146</v>
      </c>
      <c r="S3" s="417" t="s">
        <v>147</v>
      </c>
      <c r="T3" s="395" t="s">
        <v>148</v>
      </c>
      <c r="U3" s="396"/>
      <c r="V3" s="397"/>
      <c r="W3" s="398" t="s">
        <v>466</v>
      </c>
      <c r="X3" s="408" t="s">
        <v>461</v>
      </c>
      <c r="Y3" s="387" t="s">
        <v>151</v>
      </c>
    </row>
    <row r="4" spans="1:25" ht="51.75" customHeight="1" thickBot="1" x14ac:dyDescent="0.3">
      <c r="A4" s="361"/>
      <c r="B4" s="422"/>
      <c r="C4" s="243" t="s">
        <v>149</v>
      </c>
      <c r="D4" s="243" t="s">
        <v>150</v>
      </c>
      <c r="E4" s="244" t="s">
        <v>151</v>
      </c>
      <c r="F4" s="361"/>
      <c r="G4" s="143"/>
      <c r="H4" s="361"/>
      <c r="I4" s="412"/>
      <c r="J4" s="243" t="s">
        <v>149</v>
      </c>
      <c r="K4" s="243" t="s">
        <v>150</v>
      </c>
      <c r="L4" s="244" t="s">
        <v>151</v>
      </c>
      <c r="M4" s="415"/>
      <c r="N4" s="419"/>
      <c r="O4" s="401"/>
      <c r="P4" s="403"/>
      <c r="R4" s="416"/>
      <c r="S4" s="412"/>
      <c r="T4" s="235" t="s">
        <v>149</v>
      </c>
      <c r="U4" s="144" t="s">
        <v>150</v>
      </c>
      <c r="V4" s="236">
        <v>2026</v>
      </c>
      <c r="W4" s="399"/>
      <c r="X4" s="403"/>
      <c r="Y4" s="388"/>
    </row>
    <row r="5" spans="1:25" x14ac:dyDescent="0.25">
      <c r="A5" s="245" t="s">
        <v>152</v>
      </c>
      <c r="B5" s="248" t="s">
        <v>50</v>
      </c>
      <c r="C5" s="251">
        <f>'Рсчет субвенци (1,14, МРОТ, Кр)'!AC6</f>
        <v>5971263.2999999998</v>
      </c>
      <c r="D5" s="251">
        <v>0</v>
      </c>
      <c r="E5" s="252">
        <f t="shared" ref="E5:E26" si="0">C5+D5</f>
        <v>5971263.2999999998</v>
      </c>
      <c r="F5" s="237">
        <f>E5/1000</f>
        <v>5971.3</v>
      </c>
      <c r="G5" s="145"/>
      <c r="H5" s="245" t="s">
        <v>152</v>
      </c>
      <c r="I5" s="248" t="s">
        <v>50</v>
      </c>
      <c r="J5" s="251">
        <f>'Рсчет субвенци (1,14, МРОТ, Кр)'!AD6</f>
        <v>4177682.3</v>
      </c>
      <c r="K5" s="251">
        <v>0</v>
      </c>
      <c r="L5" s="296">
        <f t="shared" ref="L5:L26" si="1">J5+K5</f>
        <v>4177682.3</v>
      </c>
      <c r="M5" s="251">
        <v>4177.6000000000004</v>
      </c>
      <c r="N5" s="298">
        <v>0</v>
      </c>
      <c r="O5" s="266">
        <f>N5/1000</f>
        <v>0</v>
      </c>
      <c r="P5" s="237">
        <f>M5+O5</f>
        <v>4177.6000000000004</v>
      </c>
      <c r="R5" s="146" t="s">
        <v>152</v>
      </c>
      <c r="S5" s="248" t="s">
        <v>50</v>
      </c>
      <c r="T5" s="147">
        <f>C5+J5</f>
        <v>10148945.6</v>
      </c>
      <c r="U5" s="148">
        <f>D5+K5</f>
        <v>0</v>
      </c>
      <c r="V5" s="271">
        <f t="shared" ref="V5:V26" si="2">T5+U5</f>
        <v>10148945.6</v>
      </c>
      <c r="W5" s="273">
        <v>10148.9</v>
      </c>
      <c r="X5" s="276">
        <f>O5</f>
        <v>0</v>
      </c>
      <c r="Y5" s="280">
        <f>W5+X5</f>
        <v>10148.9</v>
      </c>
    </row>
    <row r="6" spans="1:25" x14ac:dyDescent="0.25">
      <c r="A6" s="246" t="s">
        <v>153</v>
      </c>
      <c r="B6" s="249" t="s">
        <v>51</v>
      </c>
      <c r="C6" s="238">
        <f>'Рсчет субвенци (1,14, МРОТ, Кр)'!AC7</f>
        <v>4149504.2</v>
      </c>
      <c r="D6" s="238">
        <v>0</v>
      </c>
      <c r="E6" s="253">
        <f t="shared" si="0"/>
        <v>4149504.2</v>
      </c>
      <c r="F6" s="238">
        <f t="shared" ref="F6:F28" si="3">E6/1000</f>
        <v>4149.5</v>
      </c>
      <c r="G6" s="145"/>
      <c r="H6" s="246" t="s">
        <v>153</v>
      </c>
      <c r="I6" s="249" t="s">
        <v>51</v>
      </c>
      <c r="J6" s="238">
        <f>'Рсчет субвенци (1,14, МРОТ, Кр)'!AD7</f>
        <v>2903122.8</v>
      </c>
      <c r="K6" s="238">
        <v>0</v>
      </c>
      <c r="L6" s="297">
        <f t="shared" si="1"/>
        <v>2903122.8</v>
      </c>
      <c r="M6" s="238">
        <f t="shared" ref="M6:M25" si="4">L6/1000</f>
        <v>2903.1</v>
      </c>
      <c r="N6" s="299">
        <v>0</v>
      </c>
      <c r="O6" s="267">
        <f t="shared" ref="O6:O29" si="5">N6/1000</f>
        <v>0</v>
      </c>
      <c r="P6" s="237">
        <f t="shared" ref="P6:P26" si="6">M6+O6</f>
        <v>2903.1</v>
      </c>
      <c r="R6" s="149" t="s">
        <v>153</v>
      </c>
      <c r="S6" s="249" t="s">
        <v>51</v>
      </c>
      <c r="T6" s="147">
        <f t="shared" ref="T6:T26" si="7">C6+J6</f>
        <v>7052627</v>
      </c>
      <c r="U6" s="148">
        <f t="shared" ref="U6:U26" si="8">D6+K6</f>
        <v>0</v>
      </c>
      <c r="V6" s="267">
        <f t="shared" si="2"/>
        <v>7052627</v>
      </c>
      <c r="W6" s="273">
        <f t="shared" ref="W6:W26" si="9">V6/1000</f>
        <v>7052.6</v>
      </c>
      <c r="X6" s="277">
        <f t="shared" ref="X6:X29" si="10">O6</f>
        <v>0</v>
      </c>
      <c r="Y6" s="265">
        <f t="shared" ref="Y6:Y26" si="11">W6+X6</f>
        <v>7052.6</v>
      </c>
    </row>
    <row r="7" spans="1:25" x14ac:dyDescent="0.25">
      <c r="A7" s="246" t="s">
        <v>154</v>
      </c>
      <c r="B7" s="249" t="s">
        <v>52</v>
      </c>
      <c r="C7" s="238">
        <f>'Рсчет субвенци (1,14, МРОТ, Кр)'!AC8</f>
        <v>4901744.0999999996</v>
      </c>
      <c r="D7" s="238">
        <v>0</v>
      </c>
      <c r="E7" s="253">
        <f t="shared" si="0"/>
        <v>4901744.0999999996</v>
      </c>
      <c r="F7" s="238">
        <f t="shared" si="3"/>
        <v>4901.7</v>
      </c>
      <c r="G7" s="145"/>
      <c r="H7" s="246" t="s">
        <v>154</v>
      </c>
      <c r="I7" s="249" t="s">
        <v>52</v>
      </c>
      <c r="J7" s="238">
        <f>'Рсчет субвенци (1,14, МРОТ, Кр)'!AD8</f>
        <v>3429413.3</v>
      </c>
      <c r="K7" s="238">
        <v>0</v>
      </c>
      <c r="L7" s="297">
        <f t="shared" si="1"/>
        <v>3429413.3</v>
      </c>
      <c r="M7" s="238">
        <f t="shared" si="4"/>
        <v>3429.4</v>
      </c>
      <c r="N7" s="299">
        <v>0</v>
      </c>
      <c r="O7" s="267">
        <f t="shared" si="5"/>
        <v>0</v>
      </c>
      <c r="P7" s="237">
        <f t="shared" si="6"/>
        <v>3429.4</v>
      </c>
      <c r="R7" s="149" t="s">
        <v>154</v>
      </c>
      <c r="S7" s="249" t="s">
        <v>52</v>
      </c>
      <c r="T7" s="147">
        <f t="shared" si="7"/>
        <v>8331157.4000000004</v>
      </c>
      <c r="U7" s="148">
        <f t="shared" si="8"/>
        <v>0</v>
      </c>
      <c r="V7" s="267">
        <f t="shared" si="2"/>
        <v>8331157.4000000004</v>
      </c>
      <c r="W7" s="273">
        <v>8331.1</v>
      </c>
      <c r="X7" s="277">
        <f t="shared" si="10"/>
        <v>0</v>
      </c>
      <c r="Y7" s="265">
        <f t="shared" si="11"/>
        <v>8331.1</v>
      </c>
    </row>
    <row r="8" spans="1:25" x14ac:dyDescent="0.25">
      <c r="A8" s="246" t="s">
        <v>155</v>
      </c>
      <c r="B8" s="249" t="s">
        <v>53</v>
      </c>
      <c r="C8" s="238">
        <f>'Рсчет субвенци (1,14, МРОТ, Кр)'!AC9</f>
        <v>10460800.199999999</v>
      </c>
      <c r="D8" s="238">
        <v>0</v>
      </c>
      <c r="E8" s="253">
        <f t="shared" si="0"/>
        <v>10460800.199999999</v>
      </c>
      <c r="F8" s="238">
        <f t="shared" si="3"/>
        <v>10460.799999999999</v>
      </c>
      <c r="G8" s="145"/>
      <c r="H8" s="246" t="s">
        <v>155</v>
      </c>
      <c r="I8" s="249" t="s">
        <v>53</v>
      </c>
      <c r="J8" s="238">
        <f>'Рсчет субвенци (1,14, МРОТ, Кр)'!AD9</f>
        <v>7318702.5999999996</v>
      </c>
      <c r="K8" s="238">
        <v>0</v>
      </c>
      <c r="L8" s="297">
        <f t="shared" si="1"/>
        <v>7318702.5999999996</v>
      </c>
      <c r="M8" s="238">
        <f t="shared" si="4"/>
        <v>7318.7</v>
      </c>
      <c r="N8" s="299">
        <v>0</v>
      </c>
      <c r="O8" s="267">
        <f t="shared" si="5"/>
        <v>0</v>
      </c>
      <c r="P8" s="237">
        <f t="shared" si="6"/>
        <v>7318.7</v>
      </c>
      <c r="R8" s="149" t="s">
        <v>155</v>
      </c>
      <c r="S8" s="249" t="s">
        <v>53</v>
      </c>
      <c r="T8" s="147">
        <f t="shared" si="7"/>
        <v>17779502.800000001</v>
      </c>
      <c r="U8" s="148">
        <f t="shared" si="8"/>
        <v>0</v>
      </c>
      <c r="V8" s="267">
        <f t="shared" si="2"/>
        <v>17779502.800000001</v>
      </c>
      <c r="W8" s="273">
        <f t="shared" si="9"/>
        <v>17779.5</v>
      </c>
      <c r="X8" s="277">
        <f t="shared" si="10"/>
        <v>0</v>
      </c>
      <c r="Y8" s="265">
        <f t="shared" si="11"/>
        <v>17779.5</v>
      </c>
    </row>
    <row r="9" spans="1:25" x14ac:dyDescent="0.25">
      <c r="A9" s="246" t="s">
        <v>156</v>
      </c>
      <c r="B9" s="249" t="s">
        <v>54</v>
      </c>
      <c r="C9" s="238">
        <f>'Рсчет субвенци (1,14, МРОТ, Кр)'!AC10</f>
        <v>31699770.100000001</v>
      </c>
      <c r="D9" s="238">
        <v>0</v>
      </c>
      <c r="E9" s="253">
        <f t="shared" si="0"/>
        <v>31699770.100000001</v>
      </c>
      <c r="F9" s="238">
        <f t="shared" si="3"/>
        <v>31699.8</v>
      </c>
      <c r="G9" s="145"/>
      <c r="H9" s="246" t="s">
        <v>156</v>
      </c>
      <c r="I9" s="249" t="s">
        <v>54</v>
      </c>
      <c r="J9" s="238">
        <f>'Рсчет субвенци (1,14, МРОТ, Кр)'!AD10</f>
        <v>22178149.300000001</v>
      </c>
      <c r="K9" s="238">
        <v>0</v>
      </c>
      <c r="L9" s="297">
        <f t="shared" si="1"/>
        <v>22178149.300000001</v>
      </c>
      <c r="M9" s="238">
        <f t="shared" si="4"/>
        <v>22178.1</v>
      </c>
      <c r="N9" s="299">
        <v>0</v>
      </c>
      <c r="O9" s="267">
        <f t="shared" si="5"/>
        <v>0</v>
      </c>
      <c r="P9" s="237">
        <f t="shared" si="6"/>
        <v>22178.1</v>
      </c>
      <c r="R9" s="149" t="s">
        <v>156</v>
      </c>
      <c r="S9" s="249" t="s">
        <v>54</v>
      </c>
      <c r="T9" s="147">
        <f t="shared" si="7"/>
        <v>53877919.399999999</v>
      </c>
      <c r="U9" s="148">
        <f t="shared" si="8"/>
        <v>0</v>
      </c>
      <c r="V9" s="267">
        <f t="shared" si="2"/>
        <v>53877919.399999999</v>
      </c>
      <c r="W9" s="273">
        <f t="shared" si="9"/>
        <v>53877.9</v>
      </c>
      <c r="X9" s="277">
        <f t="shared" si="10"/>
        <v>0</v>
      </c>
      <c r="Y9" s="265">
        <f t="shared" si="11"/>
        <v>53877.9</v>
      </c>
    </row>
    <row r="10" spans="1:25" x14ac:dyDescent="0.25">
      <c r="A10" s="246" t="s">
        <v>157</v>
      </c>
      <c r="B10" s="249" t="s">
        <v>55</v>
      </c>
      <c r="C10" s="238">
        <f>'Рсчет субвенци (1,14, МРОТ, Кр)'!AC11</f>
        <v>7189496.4000000004</v>
      </c>
      <c r="D10" s="238">
        <v>0</v>
      </c>
      <c r="E10" s="253">
        <f t="shared" si="0"/>
        <v>7189496.4000000004</v>
      </c>
      <c r="F10" s="238">
        <f t="shared" si="3"/>
        <v>7189.5</v>
      </c>
      <c r="G10" s="145"/>
      <c r="H10" s="246" t="s">
        <v>157</v>
      </c>
      <c r="I10" s="249" t="s">
        <v>55</v>
      </c>
      <c r="J10" s="238">
        <f>'Рсчет субвенци (1,14, МРОТ, Кр)'!AD11</f>
        <v>5029996.2</v>
      </c>
      <c r="K10" s="238">
        <v>0</v>
      </c>
      <c r="L10" s="297">
        <f t="shared" si="1"/>
        <v>5029996.2</v>
      </c>
      <c r="M10" s="238">
        <f t="shared" si="4"/>
        <v>5030</v>
      </c>
      <c r="N10" s="299">
        <v>0</v>
      </c>
      <c r="O10" s="267">
        <f t="shared" si="5"/>
        <v>0</v>
      </c>
      <c r="P10" s="237">
        <f t="shared" si="6"/>
        <v>5030</v>
      </c>
      <c r="R10" s="149" t="s">
        <v>157</v>
      </c>
      <c r="S10" s="249" t="s">
        <v>55</v>
      </c>
      <c r="T10" s="147">
        <f t="shared" si="7"/>
        <v>12219492.6</v>
      </c>
      <c r="U10" s="148">
        <f t="shared" si="8"/>
        <v>0</v>
      </c>
      <c r="V10" s="267">
        <f t="shared" si="2"/>
        <v>12219492.6</v>
      </c>
      <c r="W10" s="273">
        <f t="shared" si="9"/>
        <v>12219.5</v>
      </c>
      <c r="X10" s="277">
        <f t="shared" si="10"/>
        <v>0</v>
      </c>
      <c r="Y10" s="265">
        <f t="shared" si="11"/>
        <v>12219.5</v>
      </c>
    </row>
    <row r="11" spans="1:25" x14ac:dyDescent="0.25">
      <c r="A11" s="246" t="s">
        <v>158</v>
      </c>
      <c r="B11" s="249" t="s">
        <v>56</v>
      </c>
      <c r="C11" s="238">
        <f>'Рсчет субвенци (1,14, МРОТ, Кр)'!AC12</f>
        <v>2304427.2000000002</v>
      </c>
      <c r="D11" s="238">
        <v>0</v>
      </c>
      <c r="E11" s="253">
        <f t="shared" si="0"/>
        <v>2304427.2000000002</v>
      </c>
      <c r="F11" s="238">
        <f t="shared" si="3"/>
        <v>2304.4</v>
      </c>
      <c r="G11" s="145"/>
      <c r="H11" s="246" t="s">
        <v>158</v>
      </c>
      <c r="I11" s="249" t="s">
        <v>56</v>
      </c>
      <c r="J11" s="238">
        <f>'Рсчет субвенци (1,14, МРОТ, Кр)'!AD12</f>
        <v>1612249.3</v>
      </c>
      <c r="K11" s="254">
        <v>0</v>
      </c>
      <c r="L11" s="297">
        <f t="shared" si="1"/>
        <v>1612249.3</v>
      </c>
      <c r="M11" s="238">
        <v>1612.3</v>
      </c>
      <c r="N11" s="299">
        <v>0</v>
      </c>
      <c r="O11" s="267">
        <f t="shared" si="5"/>
        <v>0</v>
      </c>
      <c r="P11" s="237">
        <f t="shared" si="6"/>
        <v>1612.3</v>
      </c>
      <c r="R11" s="149" t="s">
        <v>158</v>
      </c>
      <c r="S11" s="249" t="s">
        <v>56</v>
      </c>
      <c r="T11" s="147">
        <f t="shared" si="7"/>
        <v>3916676.5</v>
      </c>
      <c r="U11" s="148">
        <f t="shared" si="8"/>
        <v>0</v>
      </c>
      <c r="V11" s="272">
        <f t="shared" si="2"/>
        <v>3916676.5</v>
      </c>
      <c r="W11" s="273">
        <f t="shared" si="9"/>
        <v>3916.7</v>
      </c>
      <c r="X11" s="277">
        <f t="shared" si="10"/>
        <v>0</v>
      </c>
      <c r="Y11" s="265">
        <f t="shared" si="11"/>
        <v>3916.7</v>
      </c>
    </row>
    <row r="12" spans="1:25" x14ac:dyDescent="0.25">
      <c r="A12" s="246" t="s">
        <v>159</v>
      </c>
      <c r="B12" s="249" t="s">
        <v>57</v>
      </c>
      <c r="C12" s="238">
        <f>'Рсчет субвенци (1,14, МРОТ, Кр)'!AC13</f>
        <v>5395593.0999999996</v>
      </c>
      <c r="D12" s="238">
        <v>0</v>
      </c>
      <c r="E12" s="253">
        <f t="shared" si="0"/>
        <v>5395593.0999999996</v>
      </c>
      <c r="F12" s="238">
        <f t="shared" si="3"/>
        <v>5395.6</v>
      </c>
      <c r="G12" s="145"/>
      <c r="H12" s="246" t="s">
        <v>159</v>
      </c>
      <c r="I12" s="249" t="s">
        <v>57</v>
      </c>
      <c r="J12" s="238">
        <f>'Рсчет субвенци (1,14, МРОТ, Кр)'!AD13</f>
        <v>3774925.4</v>
      </c>
      <c r="K12" s="254">
        <v>0</v>
      </c>
      <c r="L12" s="297">
        <f t="shared" si="1"/>
        <v>3774925.4</v>
      </c>
      <c r="M12" s="238">
        <f t="shared" si="4"/>
        <v>3774.9</v>
      </c>
      <c r="N12" s="299">
        <v>0</v>
      </c>
      <c r="O12" s="267">
        <f t="shared" si="5"/>
        <v>0</v>
      </c>
      <c r="P12" s="237">
        <f t="shared" si="6"/>
        <v>3774.9</v>
      </c>
      <c r="R12" s="149" t="s">
        <v>159</v>
      </c>
      <c r="S12" s="249" t="s">
        <v>57</v>
      </c>
      <c r="T12" s="147">
        <f t="shared" si="7"/>
        <v>9170518.5</v>
      </c>
      <c r="U12" s="148">
        <f t="shared" si="8"/>
        <v>0</v>
      </c>
      <c r="V12" s="272">
        <f t="shared" si="2"/>
        <v>9170518.5</v>
      </c>
      <c r="W12" s="273">
        <f t="shared" si="9"/>
        <v>9170.5</v>
      </c>
      <c r="X12" s="277">
        <f t="shared" si="10"/>
        <v>0</v>
      </c>
      <c r="Y12" s="265">
        <f t="shared" si="11"/>
        <v>9170.5</v>
      </c>
    </row>
    <row r="13" spans="1:25" x14ac:dyDescent="0.25">
      <c r="A13" s="246" t="s">
        <v>160</v>
      </c>
      <c r="B13" s="249" t="s">
        <v>58</v>
      </c>
      <c r="C13" s="238">
        <f>'Рсчет субвенци (1,14, МРОТ, Кр)'!AC14</f>
        <v>4255041.5999999996</v>
      </c>
      <c r="D13" s="238">
        <v>0</v>
      </c>
      <c r="E13" s="253">
        <f t="shared" si="0"/>
        <v>4255041.5999999996</v>
      </c>
      <c r="F13" s="238">
        <f t="shared" si="3"/>
        <v>4255</v>
      </c>
      <c r="G13" s="145"/>
      <c r="H13" s="246" t="s">
        <v>160</v>
      </c>
      <c r="I13" s="249" t="s">
        <v>58</v>
      </c>
      <c r="J13" s="238">
        <f>'Рсчет субвенци (1,14, МРОТ, Кр)'!AD14</f>
        <v>2976960.1</v>
      </c>
      <c r="K13" s="254">
        <v>0</v>
      </c>
      <c r="L13" s="297">
        <f t="shared" si="1"/>
        <v>2976960.1</v>
      </c>
      <c r="M13" s="238">
        <f t="shared" si="4"/>
        <v>2977</v>
      </c>
      <c r="N13" s="299">
        <v>0</v>
      </c>
      <c r="O13" s="267">
        <f t="shared" si="5"/>
        <v>0</v>
      </c>
      <c r="P13" s="237">
        <f t="shared" si="6"/>
        <v>2977</v>
      </c>
      <c r="R13" s="149" t="s">
        <v>160</v>
      </c>
      <c r="S13" s="249" t="s">
        <v>58</v>
      </c>
      <c r="T13" s="147">
        <f t="shared" si="7"/>
        <v>7232001.7000000002</v>
      </c>
      <c r="U13" s="148">
        <f t="shared" si="8"/>
        <v>0</v>
      </c>
      <c r="V13" s="272">
        <f t="shared" si="2"/>
        <v>7232001.7000000002</v>
      </c>
      <c r="W13" s="273">
        <f t="shared" si="9"/>
        <v>7232</v>
      </c>
      <c r="X13" s="277">
        <f t="shared" si="10"/>
        <v>0</v>
      </c>
      <c r="Y13" s="265">
        <f t="shared" si="11"/>
        <v>7232</v>
      </c>
    </row>
    <row r="14" spans="1:25" x14ac:dyDescent="0.25">
      <c r="A14" s="246" t="s">
        <v>161</v>
      </c>
      <c r="B14" s="249" t="s">
        <v>59</v>
      </c>
      <c r="C14" s="238">
        <f>'Рсчет субвенци (1,14, МРОТ, Кр)'!AC15</f>
        <v>45214824</v>
      </c>
      <c r="D14" s="238">
        <v>0</v>
      </c>
      <c r="E14" s="253">
        <f t="shared" si="0"/>
        <v>45214824</v>
      </c>
      <c r="F14" s="238">
        <f t="shared" si="3"/>
        <v>45214.8</v>
      </c>
      <c r="G14" s="145"/>
      <c r="H14" s="246" t="s">
        <v>161</v>
      </c>
      <c r="I14" s="249" t="s">
        <v>59</v>
      </c>
      <c r="J14" s="238">
        <f>'Рсчет субвенци (1,14, МРОТ, Кр)'!AD15</f>
        <v>31633703.199999999</v>
      </c>
      <c r="K14" s="254">
        <v>0</v>
      </c>
      <c r="L14" s="297">
        <f t="shared" si="1"/>
        <v>31633703.199999999</v>
      </c>
      <c r="M14" s="238">
        <f t="shared" si="4"/>
        <v>31633.7</v>
      </c>
      <c r="N14" s="299">
        <v>0</v>
      </c>
      <c r="O14" s="267">
        <f t="shared" si="5"/>
        <v>0</v>
      </c>
      <c r="P14" s="237">
        <f t="shared" si="6"/>
        <v>31633.7</v>
      </c>
      <c r="R14" s="149" t="s">
        <v>161</v>
      </c>
      <c r="S14" s="249" t="s">
        <v>59</v>
      </c>
      <c r="T14" s="147">
        <f t="shared" si="7"/>
        <v>76848527.200000003</v>
      </c>
      <c r="U14" s="148">
        <f t="shared" si="8"/>
        <v>0</v>
      </c>
      <c r="V14" s="272">
        <f t="shared" si="2"/>
        <v>76848527.200000003</v>
      </c>
      <c r="W14" s="273">
        <f t="shared" si="9"/>
        <v>76848.5</v>
      </c>
      <c r="X14" s="277">
        <f t="shared" si="10"/>
        <v>0</v>
      </c>
      <c r="Y14" s="265">
        <f t="shared" si="11"/>
        <v>76848.5</v>
      </c>
    </row>
    <row r="15" spans="1:25" x14ac:dyDescent="0.25">
      <c r="A15" s="246" t="s">
        <v>162</v>
      </c>
      <c r="B15" s="249" t="s">
        <v>60</v>
      </c>
      <c r="C15" s="238">
        <f>'Рсчет субвенци (1,14, МРОТ, Кр)'!AC16</f>
        <v>8138735.4000000004</v>
      </c>
      <c r="D15" s="238">
        <v>0</v>
      </c>
      <c r="E15" s="253">
        <f t="shared" si="0"/>
        <v>8138735.4000000004</v>
      </c>
      <c r="F15" s="238">
        <v>8138.8</v>
      </c>
      <c r="G15" s="145"/>
      <c r="H15" s="246" t="s">
        <v>162</v>
      </c>
      <c r="I15" s="249" t="s">
        <v>60</v>
      </c>
      <c r="J15" s="238">
        <f>'Рсчет субвенци (1,14, МРОТ, Кр)'!AD16</f>
        <v>5694113.5</v>
      </c>
      <c r="K15" s="254">
        <v>0</v>
      </c>
      <c r="L15" s="297">
        <f t="shared" si="1"/>
        <v>5694113.5</v>
      </c>
      <c r="M15" s="238">
        <f t="shared" si="4"/>
        <v>5694.1</v>
      </c>
      <c r="N15" s="299">
        <v>0</v>
      </c>
      <c r="O15" s="267">
        <f t="shared" si="5"/>
        <v>0</v>
      </c>
      <c r="P15" s="237">
        <f t="shared" si="6"/>
        <v>5694.1</v>
      </c>
      <c r="R15" s="149" t="s">
        <v>162</v>
      </c>
      <c r="S15" s="249" t="s">
        <v>60</v>
      </c>
      <c r="T15" s="147">
        <f t="shared" si="7"/>
        <v>13832848.9</v>
      </c>
      <c r="U15" s="148">
        <f t="shared" si="8"/>
        <v>0</v>
      </c>
      <c r="V15" s="272">
        <f t="shared" si="2"/>
        <v>13832848.9</v>
      </c>
      <c r="W15" s="273">
        <v>13832.9</v>
      </c>
      <c r="X15" s="277">
        <f t="shared" si="10"/>
        <v>0</v>
      </c>
      <c r="Y15" s="265">
        <f t="shared" si="11"/>
        <v>13832.9</v>
      </c>
    </row>
    <row r="16" spans="1:25" x14ac:dyDescent="0.25">
      <c r="A16" s="246" t="s">
        <v>163</v>
      </c>
      <c r="B16" s="249" t="s">
        <v>61</v>
      </c>
      <c r="C16" s="238">
        <f>'Рсчет субвенци (1,14, МРОТ, Кр)'!AC17</f>
        <v>13931407.5</v>
      </c>
      <c r="D16" s="238">
        <v>0</v>
      </c>
      <c r="E16" s="253">
        <f t="shared" si="0"/>
        <v>13931407.5</v>
      </c>
      <c r="F16" s="238">
        <f t="shared" si="3"/>
        <v>13931.4</v>
      </c>
      <c r="G16" s="145"/>
      <c r="H16" s="246" t="s">
        <v>163</v>
      </c>
      <c r="I16" s="249" t="s">
        <v>61</v>
      </c>
      <c r="J16" s="238">
        <f>'Рсчет субвенци (1,14, МРОТ, Кр)'!AD17</f>
        <v>9746847.8000000007</v>
      </c>
      <c r="K16" s="254">
        <v>0</v>
      </c>
      <c r="L16" s="297">
        <f t="shared" si="1"/>
        <v>9746847.8000000007</v>
      </c>
      <c r="M16" s="238">
        <f t="shared" si="4"/>
        <v>9746.7999999999993</v>
      </c>
      <c r="N16" s="299">
        <v>0</v>
      </c>
      <c r="O16" s="267">
        <f t="shared" si="5"/>
        <v>0</v>
      </c>
      <c r="P16" s="237">
        <f t="shared" si="6"/>
        <v>9746.7999999999993</v>
      </c>
      <c r="R16" s="149" t="s">
        <v>163</v>
      </c>
      <c r="S16" s="249" t="s">
        <v>61</v>
      </c>
      <c r="T16" s="147">
        <f t="shared" si="7"/>
        <v>23678255.300000001</v>
      </c>
      <c r="U16" s="148">
        <f t="shared" si="8"/>
        <v>0</v>
      </c>
      <c r="V16" s="272">
        <f t="shared" si="2"/>
        <v>23678255.300000001</v>
      </c>
      <c r="W16" s="273">
        <v>23678.2</v>
      </c>
      <c r="X16" s="277">
        <f t="shared" si="10"/>
        <v>0</v>
      </c>
      <c r="Y16" s="265">
        <f t="shared" si="11"/>
        <v>23678.2</v>
      </c>
    </row>
    <row r="17" spans="1:26" x14ac:dyDescent="0.25">
      <c r="A17" s="246" t="s">
        <v>164</v>
      </c>
      <c r="B17" s="249" t="s">
        <v>62</v>
      </c>
      <c r="C17" s="238">
        <f>'Рсчет субвенци (1,14, МРОТ, Кр)'!AC18</f>
        <v>4523265.5</v>
      </c>
      <c r="D17" s="238">
        <v>0</v>
      </c>
      <c r="E17" s="253">
        <f t="shared" si="0"/>
        <v>4523265.5</v>
      </c>
      <c r="F17" s="238">
        <f t="shared" si="3"/>
        <v>4523.3</v>
      </c>
      <c r="G17" s="145"/>
      <c r="H17" s="246" t="s">
        <v>164</v>
      </c>
      <c r="I17" s="249" t="s">
        <v>62</v>
      </c>
      <c r="J17" s="238">
        <f>'Рсчет субвенци (1,14, МРОТ, Кр)'!AD18</f>
        <v>3164617.8</v>
      </c>
      <c r="K17" s="254">
        <v>0</v>
      </c>
      <c r="L17" s="297">
        <f t="shared" si="1"/>
        <v>3164617.8</v>
      </c>
      <c r="M17" s="238">
        <f t="shared" si="4"/>
        <v>3164.6</v>
      </c>
      <c r="N17" s="299">
        <v>0</v>
      </c>
      <c r="O17" s="267">
        <f t="shared" si="5"/>
        <v>0</v>
      </c>
      <c r="P17" s="237">
        <f t="shared" si="6"/>
        <v>3164.6</v>
      </c>
      <c r="R17" s="149" t="s">
        <v>164</v>
      </c>
      <c r="S17" s="249" t="s">
        <v>62</v>
      </c>
      <c r="T17" s="147">
        <f t="shared" si="7"/>
        <v>7687883.2999999998</v>
      </c>
      <c r="U17" s="148">
        <f t="shared" si="8"/>
        <v>0</v>
      </c>
      <c r="V17" s="272">
        <f t="shared" si="2"/>
        <v>7687883.2999999998</v>
      </c>
      <c r="W17" s="273">
        <f t="shared" si="9"/>
        <v>7687.9</v>
      </c>
      <c r="X17" s="277">
        <f t="shared" si="10"/>
        <v>0</v>
      </c>
      <c r="Y17" s="265">
        <f t="shared" si="11"/>
        <v>7687.9</v>
      </c>
    </row>
    <row r="18" spans="1:26" x14ac:dyDescent="0.25">
      <c r="A18" s="246" t="s">
        <v>165</v>
      </c>
      <c r="B18" s="249" t="s">
        <v>166</v>
      </c>
      <c r="C18" s="238">
        <f>'Рсчет субвенци (1,14, МРОТ, Кр)'!AC19</f>
        <v>2623481</v>
      </c>
      <c r="D18" s="254">
        <f>'Рсчет субвенци (1,14, МРОТ, Кр)'!AC22+'Рсчет субвенци (1,14, МРОТ, Кр)'!AC23+'Рсчет субвенци (1,14, МРОТ, Кр)'!AC24+'Рсчет субвенци (1,14, МРОТ, Кр)'!AC25</f>
        <v>48517.2</v>
      </c>
      <c r="E18" s="253">
        <f t="shared" si="0"/>
        <v>2671998.2000000002</v>
      </c>
      <c r="F18" s="238">
        <f t="shared" si="3"/>
        <v>2672</v>
      </c>
      <c r="G18" s="145"/>
      <c r="H18" s="246" t="s">
        <v>165</v>
      </c>
      <c r="I18" s="249" t="s">
        <v>166</v>
      </c>
      <c r="J18" s="238">
        <f>'Рсчет субвенци (1,14, МРОТ, Кр)'!AD19</f>
        <v>1835469.3</v>
      </c>
      <c r="K18" s="254">
        <f>'Рсчет субвенци (1,14, МРОТ, Кр)'!AD22+'Рсчет субвенци (1,14, МРОТ, Кр)'!AD23+'Рсчет субвенци (1,14, МРОТ, Кр)'!AD24+'Рсчет субвенци (1,14, МРОТ, Кр)'!AD25</f>
        <v>33944.1</v>
      </c>
      <c r="L18" s="297">
        <f t="shared" si="1"/>
        <v>1869413.4</v>
      </c>
      <c r="M18" s="238">
        <f t="shared" si="4"/>
        <v>1869.4</v>
      </c>
      <c r="N18" s="299">
        <v>36994.300000000003</v>
      </c>
      <c r="O18" s="267">
        <f t="shared" si="5"/>
        <v>37</v>
      </c>
      <c r="P18" s="237">
        <f t="shared" si="6"/>
        <v>1906.4</v>
      </c>
      <c r="R18" s="149" t="s">
        <v>165</v>
      </c>
      <c r="S18" s="249" t="s">
        <v>166</v>
      </c>
      <c r="T18" s="147">
        <f t="shared" si="7"/>
        <v>4458950.3</v>
      </c>
      <c r="U18" s="148">
        <f t="shared" si="8"/>
        <v>82461.3</v>
      </c>
      <c r="V18" s="272">
        <f t="shared" si="2"/>
        <v>4541411.5999999996</v>
      </c>
      <c r="W18" s="273">
        <f t="shared" si="9"/>
        <v>4541.3999999999996</v>
      </c>
      <c r="X18" s="277">
        <f t="shared" si="10"/>
        <v>37</v>
      </c>
      <c r="Y18" s="265">
        <f t="shared" si="11"/>
        <v>4578.3999999999996</v>
      </c>
    </row>
    <row r="19" spans="1:26" x14ac:dyDescent="0.25">
      <c r="A19" s="246" t="s">
        <v>167</v>
      </c>
      <c r="B19" s="249" t="s">
        <v>168</v>
      </c>
      <c r="C19" s="238">
        <f>'Рсчет субвенци (1,14, МРОТ, Кр)'!AC26</f>
        <v>4543617.5999999996</v>
      </c>
      <c r="D19" s="254">
        <f>'Рсчет субвенци (1,14, МРОТ, Кр)'!AC27+'Рсчет субвенци (1,14, МРОТ, Кр)'!AC28+'Рсчет субвенци (1,14, МРОТ, Кр)'!AC29+'Рсчет субвенци (1,14, МРОТ, Кр)'!AC30+'Рсчет субвенци (1,14, МРОТ, Кр)'!AC31</f>
        <v>299096.2</v>
      </c>
      <c r="E19" s="253">
        <f t="shared" si="0"/>
        <v>4842713.8</v>
      </c>
      <c r="F19" s="238">
        <f t="shared" si="3"/>
        <v>4842.7</v>
      </c>
      <c r="G19" s="145"/>
      <c r="H19" s="246" t="s">
        <v>167</v>
      </c>
      <c r="I19" s="249" t="s">
        <v>168</v>
      </c>
      <c r="J19" s="238">
        <f>'Рсчет субвенци (1,14, МРОТ, Кр)'!AD26</f>
        <v>3178856.8</v>
      </c>
      <c r="K19" s="254">
        <f>'Рсчет субвенци (1,14, МРОТ, Кр)'!AD27+'Рсчет субвенци (1,14, МРОТ, Кр)'!AD28+'Рсчет субвенци (1,14, МРОТ, Кр)'!AD29+'Рсчет субвенци (1,14, МРОТ, Кр)'!AD30+'Рсчет субвенци (1,14, МРОТ, Кр)'!AD31</f>
        <v>209256.9</v>
      </c>
      <c r="L19" s="297">
        <f t="shared" si="1"/>
        <v>3388113.7</v>
      </c>
      <c r="M19" s="238">
        <v>3388.2</v>
      </c>
      <c r="N19" s="299">
        <v>46242.8</v>
      </c>
      <c r="O19" s="267">
        <f t="shared" si="5"/>
        <v>46.2</v>
      </c>
      <c r="P19" s="237">
        <f t="shared" si="6"/>
        <v>3434.4</v>
      </c>
      <c r="R19" s="149" t="s">
        <v>167</v>
      </c>
      <c r="S19" s="249" t="s">
        <v>168</v>
      </c>
      <c r="T19" s="147">
        <f t="shared" si="7"/>
        <v>7722474.4000000004</v>
      </c>
      <c r="U19" s="148">
        <f t="shared" si="8"/>
        <v>508353.1</v>
      </c>
      <c r="V19" s="272">
        <f t="shared" si="2"/>
        <v>8230827.5</v>
      </c>
      <c r="W19" s="273">
        <v>8230.9</v>
      </c>
      <c r="X19" s="277">
        <f t="shared" si="10"/>
        <v>46.2</v>
      </c>
      <c r="Y19" s="265">
        <f t="shared" si="11"/>
        <v>8277.1</v>
      </c>
    </row>
    <row r="20" spans="1:26" x14ac:dyDescent="0.25">
      <c r="A20" s="246" t="s">
        <v>169</v>
      </c>
      <c r="B20" s="249" t="s">
        <v>170</v>
      </c>
      <c r="C20" s="238">
        <f>'Рсчет субвенци (1,14, МРОТ, Кр)'!AC32</f>
        <v>3812950.4</v>
      </c>
      <c r="D20" s="254">
        <f>'Рсчет субвенци (1,14, МРОТ, Кр)'!AC33+'Рсчет субвенци (1,14, МРОТ, Кр)'!AC34+'Рсчет субвенци (1,14, МРОТ, Кр)'!AC35+'Рсчет субвенци (1,14, МРОТ, Кр)'!AC36+'Рсчет субвенци (1,14, МРОТ, Кр)'!AC37+'Рсчет субвенци (1,14, МРОТ, Кр)'!AC38+'Рсчет субвенци (1,14, МРОТ, Кр)'!AC39+'Рсчет субвенци (1,14, МРОТ, Кр)'!AC40+'Рсчет субвенци (1,14, МРОТ, Кр)'!AC41</f>
        <v>305334.8</v>
      </c>
      <c r="E20" s="253">
        <f t="shared" si="0"/>
        <v>4118285.2</v>
      </c>
      <c r="F20" s="238">
        <f t="shared" si="3"/>
        <v>4118.3</v>
      </c>
      <c r="G20" s="145"/>
      <c r="H20" s="246" t="s">
        <v>169</v>
      </c>
      <c r="I20" s="249" t="s">
        <v>170</v>
      </c>
      <c r="J20" s="238">
        <f>'Рсчет субвенци (1,14, МРОТ, Кр)'!AD32</f>
        <v>2667659.2000000002</v>
      </c>
      <c r="K20" s="254">
        <f>'Рсчет субвенци (1,14, МРОТ, Кр)'!AD33+'Рсчет субвенци (1,14, МРОТ, Кр)'!AD34+'Рсчет субвенци (1,14, МРОТ, Кр)'!AD35+'Рсчет субвенци (1,14, МРОТ, Кр)'!AD36+'Рсчет субвенци (1,14, МРОТ, Кр)'!AD37+'Рсчет субвенци (1,14, МРОТ, Кр)'!AD38+'Рсчет субвенци (1,14, МРОТ, Кр)'!AD39+'Рсчет субвенци (1,14, МРОТ, Кр)'!AD40+'Рсчет субвенци (1,14, МРОТ, Кр)'!AD41</f>
        <v>213622.1</v>
      </c>
      <c r="L20" s="297">
        <f t="shared" si="1"/>
        <v>2881281.3</v>
      </c>
      <c r="M20" s="238">
        <v>2881.2</v>
      </c>
      <c r="N20" s="299">
        <v>56258.6</v>
      </c>
      <c r="O20" s="267">
        <f t="shared" si="5"/>
        <v>56.3</v>
      </c>
      <c r="P20" s="237">
        <f t="shared" si="6"/>
        <v>2937.5</v>
      </c>
      <c r="R20" s="149" t="s">
        <v>169</v>
      </c>
      <c r="S20" s="249" t="s">
        <v>170</v>
      </c>
      <c r="T20" s="147">
        <f t="shared" si="7"/>
        <v>6480609.5999999996</v>
      </c>
      <c r="U20" s="148">
        <f t="shared" si="8"/>
        <v>518956.9</v>
      </c>
      <c r="V20" s="272">
        <f t="shared" si="2"/>
        <v>6999566.5</v>
      </c>
      <c r="W20" s="273">
        <v>6999.5</v>
      </c>
      <c r="X20" s="277">
        <f t="shared" si="10"/>
        <v>56.3</v>
      </c>
      <c r="Y20" s="265">
        <f t="shared" si="11"/>
        <v>7055.8</v>
      </c>
    </row>
    <row r="21" spans="1:26" x14ac:dyDescent="0.25">
      <c r="A21" s="246" t="s">
        <v>171</v>
      </c>
      <c r="B21" s="249" t="s">
        <v>172</v>
      </c>
      <c r="C21" s="238">
        <f>'Рсчет субвенци (1,14, МРОТ, Кр)'!AC42</f>
        <v>3127500.2</v>
      </c>
      <c r="D21" s="254">
        <f>'Рсчет субвенци (1,14, МРОТ, Кр)'!AC43+'Рсчет субвенци (1,14, МРОТ, Кр)'!AC44+'Рсчет субвенци (1,14, МРОТ, Кр)'!AC45+'Рсчет субвенци (1,14, МРОТ, Кр)'!AC46</f>
        <v>406045.5</v>
      </c>
      <c r="E21" s="253">
        <f t="shared" si="0"/>
        <v>3533545.7</v>
      </c>
      <c r="F21" s="238">
        <v>3533.6</v>
      </c>
      <c r="G21" s="145"/>
      <c r="H21" s="246" t="s">
        <v>171</v>
      </c>
      <c r="I21" s="249" t="s">
        <v>172</v>
      </c>
      <c r="J21" s="238">
        <f>'Рсчет субвенци (1,14, МРОТ, Кр)'!AD42</f>
        <v>2188096.9</v>
      </c>
      <c r="K21" s="254">
        <f>'Рсчет субвенци (1,14, МРОТ, Кр)'!AD43+'Рсчет субвенци (1,14, МРОТ, Кр)'!AD44+'Рсчет субвенци (1,14, МРОТ, Кр)'!AD45+'Рсчет субвенци (1,14, МРОТ, Кр)'!AD46</f>
        <v>284082.2</v>
      </c>
      <c r="L21" s="297">
        <f t="shared" si="1"/>
        <v>2472179.1</v>
      </c>
      <c r="M21" s="238">
        <v>2472.1</v>
      </c>
      <c r="N21" s="299">
        <v>32554.9</v>
      </c>
      <c r="O21" s="267">
        <f t="shared" si="5"/>
        <v>32.6</v>
      </c>
      <c r="P21" s="237">
        <f t="shared" si="6"/>
        <v>2504.6999999999998</v>
      </c>
      <c r="R21" s="149" t="s">
        <v>171</v>
      </c>
      <c r="S21" s="249" t="s">
        <v>172</v>
      </c>
      <c r="T21" s="147">
        <f t="shared" si="7"/>
        <v>5315597.0999999996</v>
      </c>
      <c r="U21" s="148">
        <f t="shared" si="8"/>
        <v>690127.7</v>
      </c>
      <c r="V21" s="272">
        <f t="shared" si="2"/>
        <v>6005724.7999999998</v>
      </c>
      <c r="W21" s="273">
        <f t="shared" si="9"/>
        <v>6005.7</v>
      </c>
      <c r="X21" s="277">
        <f t="shared" si="10"/>
        <v>32.6</v>
      </c>
      <c r="Y21" s="265">
        <f t="shared" si="11"/>
        <v>6038.3</v>
      </c>
    </row>
    <row r="22" spans="1:26" x14ac:dyDescent="0.25">
      <c r="A22" s="246" t="s">
        <v>173</v>
      </c>
      <c r="B22" s="249" t="s">
        <v>174</v>
      </c>
      <c r="C22" s="238">
        <f>'Рсчет субвенци (1,14, МРОТ, Кр)'!AC47</f>
        <v>3249905</v>
      </c>
      <c r="D22" s="254">
        <f>'Рсчет субвенци (1,14, МРОТ, Кр)'!AC48+'Рсчет субвенци (1,14, МРОТ, Кр)'!AC49+'Рсчет субвенци (1,14, МРОТ, Кр)'!AC50+'Рсчет субвенци (1,14, МРОТ, Кр)'!AC51+'Рсчет субвенци (1,14, МРОТ, Кр)'!AC52+'Рсчет субвенци (1,14, МРОТ, Кр)'!AC53+'Рсчет субвенци (1,14, МРОТ, Кр)'!AC54</f>
        <v>135215.9</v>
      </c>
      <c r="E22" s="253">
        <f t="shared" si="0"/>
        <v>3385120.9</v>
      </c>
      <c r="F22" s="238">
        <f t="shared" si="3"/>
        <v>3385.1</v>
      </c>
      <c r="G22" s="145"/>
      <c r="H22" s="246" t="s">
        <v>173</v>
      </c>
      <c r="I22" s="249" t="s">
        <v>174</v>
      </c>
      <c r="J22" s="238">
        <f>'Рсчет субвенци (1,14, МРОТ, Кр)'!AD47</f>
        <v>2273735</v>
      </c>
      <c r="K22" s="254">
        <f>'Рсчет субвенци (1,14, МРОТ, Кр)'!AD48+'Рсчет субвенци (1,14, МРОТ, Кр)'!AD49+'Рсчет субвенци (1,14, МРОТ, Кр)'!AD50+'Рсчет субвенци (1,14, МРОТ, Кр)'!AD51+'Рсчет субвенци (1,14, МРОТ, Кр)'!AD52+'Рсчет субвенци (1,14, МРОТ, Кр)'!AD53+'Рсчет субвенци (1,14, МРОТ, Кр)'!AD54</f>
        <v>94601.4</v>
      </c>
      <c r="L22" s="297">
        <f t="shared" si="1"/>
        <v>2368336.4</v>
      </c>
      <c r="M22" s="238">
        <v>2368.4</v>
      </c>
      <c r="N22" s="299">
        <v>56971.199999999997</v>
      </c>
      <c r="O22" s="267">
        <f t="shared" si="5"/>
        <v>57</v>
      </c>
      <c r="P22" s="237">
        <f t="shared" si="6"/>
        <v>2425.4</v>
      </c>
      <c r="R22" s="149" t="s">
        <v>173</v>
      </c>
      <c r="S22" s="249" t="s">
        <v>174</v>
      </c>
      <c r="T22" s="147">
        <f t="shared" si="7"/>
        <v>5523640</v>
      </c>
      <c r="U22" s="148">
        <f t="shared" si="8"/>
        <v>229817.3</v>
      </c>
      <c r="V22" s="272">
        <f t="shared" si="2"/>
        <v>5753457.2999999998</v>
      </c>
      <c r="W22" s="273">
        <f t="shared" si="9"/>
        <v>5753.5</v>
      </c>
      <c r="X22" s="277">
        <f t="shared" si="10"/>
        <v>57</v>
      </c>
      <c r="Y22" s="265">
        <f t="shared" si="11"/>
        <v>5810.5</v>
      </c>
    </row>
    <row r="23" spans="1:26" x14ac:dyDescent="0.25">
      <c r="A23" s="246" t="s">
        <v>175</v>
      </c>
      <c r="B23" s="249" t="s">
        <v>176</v>
      </c>
      <c r="C23" s="238">
        <f>'Рсчет субвенци (1,14, МРОТ, Кр)'!AC55</f>
        <v>3348305.1</v>
      </c>
      <c r="D23" s="254">
        <f>'Рсчет субвенци (1,14, МРОТ, Кр)'!AC56+'Рсчет субвенци (1,14, МРОТ, Кр)'!AC57+'Рсчет субвенци (1,14, МРОТ, Кр)'!AC58+'Рсчет субвенци (1,14, МРОТ, Кр)'!AC59+'Рсчет субвенци (1,14, МРОТ, Кр)'!AC60+'Рсчет субвенци (1,14, МРОТ, Кр)'!AC61+'Рсчет субвенци (1,14, МРОТ, Кр)'!AC62+'Рсчет субвенци (1,14, МРОТ, Кр)'!AC63</f>
        <v>459536.3</v>
      </c>
      <c r="E23" s="253">
        <f t="shared" si="0"/>
        <v>3807841.4</v>
      </c>
      <c r="F23" s="238">
        <f t="shared" si="3"/>
        <v>3807.8</v>
      </c>
      <c r="G23" s="145"/>
      <c r="H23" s="246" t="s">
        <v>175</v>
      </c>
      <c r="I23" s="249" t="s">
        <v>176</v>
      </c>
      <c r="J23" s="238">
        <f>'Рсчет субвенци (1,14, МРОТ, Кр)'!AD55</f>
        <v>2342578.7999999998</v>
      </c>
      <c r="K23" s="254">
        <f>'Рсчет субвенци (1,14, МРОТ, Кр)'!AD56+'Рсчет субвенци (1,14, МРОТ, Кр)'!AD57+'Рсчет субвенци (1,14, МРОТ, Кр)'!AD58+'Рсчет субвенци (1,14, МРОТ, Кр)'!AD59+'Рсчет субвенци (1,14, МРОТ, Кр)'!AD60+'Рсчет субвенци (1,14, МРОТ, Кр)'!AD61+'Рсчет субвенци (1,14, МРОТ, Кр)'!AD62+'Рсчет субвенци (1,14, МРОТ, Кр)'!AD63</f>
        <v>321505.90000000002</v>
      </c>
      <c r="L23" s="297">
        <f t="shared" si="1"/>
        <v>2664084.7000000002</v>
      </c>
      <c r="M23" s="238">
        <f t="shared" si="4"/>
        <v>2664.1</v>
      </c>
      <c r="N23" s="299">
        <v>65109.9</v>
      </c>
      <c r="O23" s="267">
        <f t="shared" si="5"/>
        <v>65.099999999999994</v>
      </c>
      <c r="P23" s="237">
        <f t="shared" si="6"/>
        <v>2729.2</v>
      </c>
      <c r="R23" s="149" t="s">
        <v>175</v>
      </c>
      <c r="S23" s="249" t="s">
        <v>176</v>
      </c>
      <c r="T23" s="147">
        <f t="shared" si="7"/>
        <v>5690883.9000000004</v>
      </c>
      <c r="U23" s="148">
        <f t="shared" si="8"/>
        <v>781042.2</v>
      </c>
      <c r="V23" s="272">
        <f t="shared" si="2"/>
        <v>6471926.0999999996</v>
      </c>
      <c r="W23" s="273">
        <f t="shared" si="9"/>
        <v>6471.9</v>
      </c>
      <c r="X23" s="277">
        <f t="shared" si="10"/>
        <v>65.099999999999994</v>
      </c>
      <c r="Y23" s="265">
        <f t="shared" si="11"/>
        <v>6537</v>
      </c>
    </row>
    <row r="24" spans="1:26" x14ac:dyDescent="0.25">
      <c r="A24" s="246" t="s">
        <v>177</v>
      </c>
      <c r="B24" s="249" t="s">
        <v>178</v>
      </c>
      <c r="C24" s="238">
        <f>'Рсчет субвенци (1,14, МРОТ, Кр)'!AC64</f>
        <v>5760676.5</v>
      </c>
      <c r="D24" s="254">
        <f>'Рсчет субвенци (1,14, МРОТ, Кр)'!AC65+'Рсчет субвенци (1,14, МРОТ, Кр)'!AC66+'Рсчет субвенци (1,14, МРОТ, Кр)'!AC67+'Рсчет субвенци (1,14, МРОТ, Кр)'!AC68+'Рсчет субвенци (1,14, МРОТ, Кр)'!AC69+'Рсчет субвенци (1,14, МРОТ, Кр)'!AC70+'Рсчет субвенци (1,14, МРОТ, Кр)'!AC71</f>
        <v>203346.9</v>
      </c>
      <c r="E24" s="253">
        <f t="shared" si="0"/>
        <v>5964023.4000000004</v>
      </c>
      <c r="F24" s="238">
        <f t="shared" si="3"/>
        <v>5964</v>
      </c>
      <c r="G24" s="145"/>
      <c r="H24" s="246" t="s">
        <v>177</v>
      </c>
      <c r="I24" s="249" t="s">
        <v>178</v>
      </c>
      <c r="J24" s="238">
        <f>'Рсчет субвенци (1,14, МРОТ, Кр)'!AD64</f>
        <v>4030349.3</v>
      </c>
      <c r="K24" s="254">
        <f>'Рсчет субвенци (1,14, МРОТ, Кр)'!AD65+'Рсчет субвенци (1,14, МРОТ, Кр)'!AD66+'Рсчет субвенци (1,14, МРОТ, Кр)'!AD67+'Рсчет субвенци (1,14, МРОТ, Кр)'!AD68+'Рсчет субвенци (1,14, МРОТ, Кр)'!AD69+'Рсчет субвенци (1,14, МРОТ, Кр)'!AD70+'Рсчет субвенци (1,14, МРОТ, Кр)'!AD71</f>
        <v>142267.9</v>
      </c>
      <c r="L24" s="297">
        <f t="shared" si="1"/>
        <v>4172617.2</v>
      </c>
      <c r="M24" s="238">
        <f t="shared" si="4"/>
        <v>4172.6000000000004</v>
      </c>
      <c r="N24" s="299">
        <v>56971.199999999997</v>
      </c>
      <c r="O24" s="267">
        <f t="shared" si="5"/>
        <v>57</v>
      </c>
      <c r="P24" s="237">
        <f t="shared" si="6"/>
        <v>4229.6000000000004</v>
      </c>
      <c r="R24" s="149" t="s">
        <v>177</v>
      </c>
      <c r="S24" s="249" t="s">
        <v>178</v>
      </c>
      <c r="T24" s="147">
        <f t="shared" si="7"/>
        <v>9791025.8000000007</v>
      </c>
      <c r="U24" s="148">
        <f t="shared" si="8"/>
        <v>345614.8</v>
      </c>
      <c r="V24" s="272">
        <f t="shared" si="2"/>
        <v>10136640.6</v>
      </c>
      <c r="W24" s="273">
        <f t="shared" si="9"/>
        <v>10136.6</v>
      </c>
      <c r="X24" s="277">
        <f t="shared" si="10"/>
        <v>57</v>
      </c>
      <c r="Y24" s="265">
        <f t="shared" si="11"/>
        <v>10193.6</v>
      </c>
    </row>
    <row r="25" spans="1:26" x14ac:dyDescent="0.25">
      <c r="A25" s="246" t="s">
        <v>179</v>
      </c>
      <c r="B25" s="249" t="s">
        <v>458</v>
      </c>
      <c r="C25" s="238">
        <f>'Рсчет субвенци (1,14, МРОТ, Кр)'!AC72</f>
        <v>10195272.1</v>
      </c>
      <c r="D25" s="254">
        <f>'Рсчет субвенци (1,14, МРОТ, Кр)'!AC73+'Рсчет субвенци (1,14, МРОТ, Кр)'!AC74+'Рсчет субвенци (1,14, МРОТ, Кр)'!AC75+'Рсчет субвенци (1,14, МРОТ, Кр)'!AC76+'Рсчет субвенци (1,14, МРОТ, Кр)'!AC77+'Рсчет субвенци (1,14, МРОТ, Кр)'!AC78+'Рсчет субвенци (1,14, МРОТ, Кр)'!AC79+'Рсчет субвенци (1,14, МРОТ, Кр)'!AC80+'Рсчет субвенци (1,14, МРОТ, Кр)'!AC82+'Рсчет субвенци (1,14, МРОТ, Кр)'!AC83+'Рсчет субвенци (1,14, МРОТ, Кр)'!AC84</f>
        <v>2089597.8</v>
      </c>
      <c r="E25" s="253">
        <f t="shared" si="0"/>
        <v>12284869.9</v>
      </c>
      <c r="F25" s="238">
        <f t="shared" si="3"/>
        <v>12284.9</v>
      </c>
      <c r="G25" s="145"/>
      <c r="H25" s="246" t="s">
        <v>179</v>
      </c>
      <c r="I25" s="249" t="s">
        <v>458</v>
      </c>
      <c r="J25" s="238">
        <f>'Рсчет субвенци (1,14, МРОТ, Кр)'!AD72</f>
        <v>7132930.7999999998</v>
      </c>
      <c r="K25" s="254">
        <f>'Рсчет субвенци (1,14, МРОТ, Кр)'!AD73+'Рсчет субвенци (1,14, МРОТ, Кр)'!AD74+'Рсчет субвенци (1,14, МРОТ, Кр)'!AD75+'Рсчет субвенци (1,14, МРОТ, Кр)'!AD76+'Рсчет субвенци (1,14, МРОТ, Кр)'!AD77+'Рсчет субвенци (1,14, МРОТ, Кр)'!AD78+'Рсчет субвенци (1,14, МРОТ, Кр)'!AD79+'Рсчет субвенци (1,14, МРОТ, Кр)'!AD80+'Рсчет субвенци (1,14, МРОТ, Кр)'!AD82+'Рсчет субвенци (1,14, МРОТ, Кр)'!AD83+'Рсчет субвенци (1,14, МРОТ, Кр)'!AD84</f>
        <v>1461947.9</v>
      </c>
      <c r="L25" s="297">
        <f t="shared" si="1"/>
        <v>8594878.6999999993</v>
      </c>
      <c r="M25" s="238">
        <f t="shared" si="4"/>
        <v>8594.9</v>
      </c>
      <c r="N25" s="299">
        <v>89526.1</v>
      </c>
      <c r="O25" s="267">
        <f t="shared" si="5"/>
        <v>89.5</v>
      </c>
      <c r="P25" s="237">
        <f t="shared" si="6"/>
        <v>8684.4</v>
      </c>
      <c r="R25" s="149" t="s">
        <v>179</v>
      </c>
      <c r="S25" s="249" t="s">
        <v>458</v>
      </c>
      <c r="T25" s="147">
        <f t="shared" si="7"/>
        <v>17328202.899999999</v>
      </c>
      <c r="U25" s="148">
        <f t="shared" si="8"/>
        <v>3551545.7</v>
      </c>
      <c r="V25" s="272">
        <f t="shared" si="2"/>
        <v>20879748.600000001</v>
      </c>
      <c r="W25" s="273">
        <v>20879.8</v>
      </c>
      <c r="X25" s="277">
        <f t="shared" si="10"/>
        <v>89.5</v>
      </c>
      <c r="Y25" s="265">
        <f t="shared" si="11"/>
        <v>20969.3</v>
      </c>
    </row>
    <row r="26" spans="1:26" ht="15.75" thickBot="1" x14ac:dyDescent="0.3">
      <c r="A26" s="246" t="s">
        <v>180</v>
      </c>
      <c r="B26" s="249" t="s">
        <v>181</v>
      </c>
      <c r="C26" s="238">
        <f>'Рсчет субвенци (1,14, МРОТ, Кр)'!AC85</f>
        <v>1960254.7</v>
      </c>
      <c r="D26" s="254">
        <f>'Рсчет субвенци (1,14, МРОТ, Кр)'!AC86+'Рсчет субвенци (1,14, МРОТ, Кр)'!AC87+'Рсчет субвенци (1,14, МРОТ, Кр)'!AC88+'Рсчет субвенци (1,14, МРОТ, Кр)'!AC89+'Рсчет субвенци (1,14, МРОТ, Кр)'!AC90+'Рсчет субвенци (1,14, МРОТ, Кр)'!AC91+'Рсчет субвенци (1,14, МРОТ, Кр)'!AC92</f>
        <v>107174.1</v>
      </c>
      <c r="E26" s="253">
        <f t="shared" si="0"/>
        <v>2067428.8</v>
      </c>
      <c r="F26" s="238">
        <f t="shared" si="3"/>
        <v>2067.4</v>
      </c>
      <c r="G26" s="145"/>
      <c r="H26" s="246" t="s">
        <v>180</v>
      </c>
      <c r="I26" s="249" t="s">
        <v>181</v>
      </c>
      <c r="J26" s="238">
        <f>'Рсчет субвенци (1,14, МРОТ, Кр)'!AD85</f>
        <v>1371455.5</v>
      </c>
      <c r="K26" s="254">
        <f>'Рсчет субвенци (1,14, МРОТ, Кр)'!AD86+'Рсчет субвенци (1,14, МРОТ, Кр)'!AD87+'Рсчет субвенци (1,14, МРОТ, Кр)'!AD88+'Рсчет субвенци (1,14, МРОТ, Кр)'!AD89+'Рсчет субвенци (1,14, МРОТ, Кр)'!AD90+'Рсчет субвенци (1,14, МРОТ, Кр)'!AD91+'Рсчет субвенци (1,14, МРОТ, Кр)'!AD92</f>
        <v>74982.3</v>
      </c>
      <c r="L26" s="297">
        <f t="shared" si="1"/>
        <v>1446437.8</v>
      </c>
      <c r="M26" s="239">
        <v>1446.5</v>
      </c>
      <c r="N26" s="300">
        <v>56971.199999999997</v>
      </c>
      <c r="O26" s="268">
        <f t="shared" si="5"/>
        <v>57</v>
      </c>
      <c r="P26" s="262">
        <f t="shared" si="6"/>
        <v>1503.5</v>
      </c>
      <c r="R26" s="149" t="s">
        <v>180</v>
      </c>
      <c r="S26" s="249" t="s">
        <v>181</v>
      </c>
      <c r="T26" s="147">
        <f t="shared" si="7"/>
        <v>3331710.2</v>
      </c>
      <c r="U26" s="148">
        <f t="shared" si="8"/>
        <v>182156.4</v>
      </c>
      <c r="V26" s="272">
        <f t="shared" si="2"/>
        <v>3513866.6</v>
      </c>
      <c r="W26" s="274">
        <f t="shared" si="9"/>
        <v>3513.9</v>
      </c>
      <c r="X26" s="278">
        <f t="shared" si="10"/>
        <v>57</v>
      </c>
      <c r="Y26" s="281">
        <f t="shared" si="11"/>
        <v>3570.9</v>
      </c>
      <c r="Z26" s="140" t="s">
        <v>463</v>
      </c>
    </row>
    <row r="27" spans="1:26" ht="15.75" thickBot="1" x14ac:dyDescent="0.3">
      <c r="A27" s="404" t="s">
        <v>184</v>
      </c>
      <c r="B27" s="405"/>
      <c r="C27" s="242">
        <f>SUM(C5:C26)</f>
        <v>186757835.19999999</v>
      </c>
      <c r="D27" s="242">
        <f>SUM(D5:D26)</f>
        <v>4053864.7</v>
      </c>
      <c r="E27" s="242">
        <f>SUM(E5:E26)</f>
        <v>190811699.90000001</v>
      </c>
      <c r="F27" s="242">
        <f>SUM(F5:F26)</f>
        <v>190811.7</v>
      </c>
      <c r="G27" s="150"/>
      <c r="H27" s="406" t="s">
        <v>184</v>
      </c>
      <c r="I27" s="407"/>
      <c r="J27" s="242">
        <f>SUM(J5:J26)</f>
        <v>130661615.2</v>
      </c>
      <c r="K27" s="242">
        <f>SUM(K5:K26)</f>
        <v>2836210.7</v>
      </c>
      <c r="L27" s="242">
        <f>SUM(L5:L26)</f>
        <v>133497825.90000001</v>
      </c>
      <c r="M27" s="301">
        <f>SUM(M5:M26)</f>
        <v>133497.70000000001</v>
      </c>
      <c r="N27" s="270">
        <f>SUM(N5:N26)</f>
        <v>497600.2</v>
      </c>
      <c r="O27" s="269">
        <f t="shared" si="5"/>
        <v>497.6</v>
      </c>
      <c r="P27" s="257">
        <f>SUM(P5:P26)</f>
        <v>133995.4</v>
      </c>
      <c r="R27" s="406" t="s">
        <v>184</v>
      </c>
      <c r="S27" s="410"/>
      <c r="T27" s="151">
        <f>SUM(T5:T26)</f>
        <v>317419450.39999998</v>
      </c>
      <c r="U27" s="261">
        <f>SUM(U5:U26)</f>
        <v>6890075.4000000004</v>
      </c>
      <c r="V27" s="240">
        <f>SUM(V5:V26)</f>
        <v>324309525.80000001</v>
      </c>
      <c r="W27" s="242">
        <f>SUM(W5:W26)</f>
        <v>324309.40000000002</v>
      </c>
      <c r="X27" s="263">
        <f t="shared" si="10"/>
        <v>497.6</v>
      </c>
      <c r="Y27" s="242">
        <f>SUM(Y5:Y26)</f>
        <v>324807.09999999998</v>
      </c>
      <c r="Z27" s="295">
        <f>Y27+F28</f>
        <v>326006.40000000002</v>
      </c>
    </row>
    <row r="28" spans="1:26" ht="15.75" thickBot="1" x14ac:dyDescent="0.3">
      <c r="A28" s="247" t="s">
        <v>182</v>
      </c>
      <c r="B28" s="250" t="s">
        <v>183</v>
      </c>
      <c r="C28" s="239">
        <v>1199300</v>
      </c>
      <c r="D28" s="255">
        <v>0</v>
      </c>
      <c r="E28" s="257">
        <f>C28+D28</f>
        <v>1199300</v>
      </c>
      <c r="F28" s="239">
        <f t="shared" si="3"/>
        <v>1199.3</v>
      </c>
      <c r="H28" s="247" t="s">
        <v>182</v>
      </c>
      <c r="I28" s="250" t="s">
        <v>183</v>
      </c>
      <c r="J28" s="239">
        <v>4000000</v>
      </c>
      <c r="K28" s="255">
        <v>0</v>
      </c>
      <c r="L28" s="256">
        <f>J28+K28</f>
        <v>4000000</v>
      </c>
      <c r="M28" s="264">
        <f>L28/1000</f>
        <v>4000</v>
      </c>
      <c r="N28" s="241">
        <v>0</v>
      </c>
      <c r="O28" s="269">
        <f t="shared" si="5"/>
        <v>0</v>
      </c>
      <c r="P28" s="241">
        <f>M28+O28</f>
        <v>4000</v>
      </c>
      <c r="R28" s="258" t="s">
        <v>182</v>
      </c>
      <c r="S28" s="259" t="s">
        <v>183</v>
      </c>
      <c r="T28" s="152">
        <f>C28+J28</f>
        <v>5199300</v>
      </c>
      <c r="U28" s="152"/>
      <c r="V28" s="260">
        <f t="shared" ref="V28" si="12">T28+U28</f>
        <v>5199300</v>
      </c>
      <c r="W28" s="275">
        <f>V28/1000</f>
        <v>5199.3</v>
      </c>
      <c r="X28" s="279">
        <f t="shared" si="10"/>
        <v>0</v>
      </c>
      <c r="Y28" s="242">
        <f>W28+X28</f>
        <v>5199.3</v>
      </c>
    </row>
    <row r="29" spans="1:26" ht="15.75" thickBot="1" x14ac:dyDescent="0.3">
      <c r="E29" s="293" t="s">
        <v>459</v>
      </c>
      <c r="F29" s="242">
        <f>F27+F28</f>
        <v>192011</v>
      </c>
      <c r="L29" s="293" t="s">
        <v>459</v>
      </c>
      <c r="M29" s="263">
        <f>M27+M28</f>
        <v>137497.70000000001</v>
      </c>
      <c r="N29" s="270">
        <f>N27+N28</f>
        <v>497600.2</v>
      </c>
      <c r="O29" s="294">
        <f t="shared" si="5"/>
        <v>497.6</v>
      </c>
      <c r="P29" s="257">
        <f>P27+P28</f>
        <v>137995.4</v>
      </c>
      <c r="V29" s="293" t="s">
        <v>459</v>
      </c>
      <c r="W29" s="263">
        <f>W27+W28</f>
        <v>329508.7</v>
      </c>
      <c r="X29" s="263">
        <f t="shared" si="10"/>
        <v>497.6</v>
      </c>
      <c r="Y29" s="242">
        <f>Y27+Y28</f>
        <v>330006.40000000002</v>
      </c>
    </row>
    <row r="33" spans="1:6" x14ac:dyDescent="0.25">
      <c r="C33" s="409">
        <v>2027</v>
      </c>
      <c r="D33" s="409"/>
      <c r="E33" s="409">
        <v>2028</v>
      </c>
      <c r="F33" s="409"/>
    </row>
    <row r="34" spans="1:6" x14ac:dyDescent="0.25">
      <c r="C34" s="283" t="s">
        <v>35</v>
      </c>
      <c r="D34" s="283" t="s">
        <v>36</v>
      </c>
      <c r="E34" s="283" t="s">
        <v>35</v>
      </c>
      <c r="F34" s="283" t="s">
        <v>36</v>
      </c>
    </row>
    <row r="35" spans="1:6" x14ac:dyDescent="0.25">
      <c r="A35" s="282"/>
      <c r="C35" s="284">
        <v>187748.7</v>
      </c>
      <c r="D35" s="284">
        <v>137058.4</v>
      </c>
      <c r="E35" s="284">
        <v>0</v>
      </c>
      <c r="F35" s="284">
        <v>137058.4</v>
      </c>
    </row>
    <row r="36" spans="1:6" x14ac:dyDescent="0.25">
      <c r="C36" s="283" t="s">
        <v>462</v>
      </c>
      <c r="D36" s="283" t="s">
        <v>462</v>
      </c>
      <c r="E36" s="283"/>
      <c r="F36" s="283" t="s">
        <v>462</v>
      </c>
    </row>
  </sheetData>
  <mergeCells count="25">
    <mergeCell ref="A1:F2"/>
    <mergeCell ref="A3:A4"/>
    <mergeCell ref="B3:B4"/>
    <mergeCell ref="C3:E3"/>
    <mergeCell ref="F3:F4"/>
    <mergeCell ref="A27:B27"/>
    <mergeCell ref="H27:I27"/>
    <mergeCell ref="X3:X4"/>
    <mergeCell ref="C33:D33"/>
    <mergeCell ref="E33:F33"/>
    <mergeCell ref="R27:S27"/>
    <mergeCell ref="H3:H4"/>
    <mergeCell ref="I3:I4"/>
    <mergeCell ref="J3:L3"/>
    <mergeCell ref="M3:M4"/>
    <mergeCell ref="R3:R4"/>
    <mergeCell ref="S3:S4"/>
    <mergeCell ref="N3:N4"/>
    <mergeCell ref="Y3:Y4"/>
    <mergeCell ref="R1:Y2"/>
    <mergeCell ref="T3:V3"/>
    <mergeCell ref="W3:W4"/>
    <mergeCell ref="H1:P2"/>
    <mergeCell ref="O3:O4"/>
    <mergeCell ref="P3:P4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90"/>
  <sheetViews>
    <sheetView workbookViewId="0">
      <selection sqref="A1:I90"/>
    </sheetView>
  </sheetViews>
  <sheetFormatPr defaultRowHeight="15" x14ac:dyDescent="0.25"/>
  <cols>
    <col min="1" max="1" width="26.28515625" customWidth="1"/>
    <col min="5" max="5" width="12.140625" customWidth="1"/>
    <col min="9" max="9" width="11.7109375" customWidth="1"/>
  </cols>
  <sheetData>
    <row r="1" spans="1:9" ht="24.75" customHeight="1" thickBot="1" x14ac:dyDescent="0.3">
      <c r="A1" s="424" t="s">
        <v>2</v>
      </c>
      <c r="B1" s="426" t="s">
        <v>185</v>
      </c>
      <c r="C1" s="427"/>
      <c r="D1" s="427"/>
      <c r="E1" s="428"/>
      <c r="F1" s="429" t="s">
        <v>186</v>
      </c>
      <c r="G1" s="430"/>
      <c r="H1" s="430"/>
      <c r="I1" s="431"/>
    </row>
    <row r="2" spans="1:9" ht="37.5" customHeight="1" thickBot="1" x14ac:dyDescent="0.3">
      <c r="A2" s="425"/>
      <c r="B2" s="288">
        <v>2022</v>
      </c>
      <c r="C2" s="289">
        <v>2023</v>
      </c>
      <c r="D2" s="289">
        <v>2024</v>
      </c>
      <c r="E2" s="290" t="s">
        <v>187</v>
      </c>
      <c r="F2" s="291">
        <v>2022</v>
      </c>
      <c r="G2" s="287">
        <v>2023</v>
      </c>
      <c r="H2" s="287">
        <v>2024</v>
      </c>
      <c r="I2" s="292" t="s">
        <v>187</v>
      </c>
    </row>
    <row r="3" spans="1:9" x14ac:dyDescent="0.25">
      <c r="A3" s="64" t="s">
        <v>50</v>
      </c>
      <c r="B3" s="285">
        <v>1817</v>
      </c>
      <c r="C3" s="285">
        <v>1763</v>
      </c>
      <c r="D3" s="285">
        <v>1794</v>
      </c>
      <c r="E3" s="286">
        <f t="shared" ref="E3:E66" si="0">(B3+C3+D3)/3</f>
        <v>1791.33</v>
      </c>
      <c r="F3" s="64">
        <v>6416</v>
      </c>
      <c r="G3" s="64">
        <v>7000</v>
      </c>
      <c r="H3" s="64">
        <v>7064</v>
      </c>
      <c r="I3" s="72">
        <f t="shared" ref="I3:I66" si="1">(F3+G3+H3)/3</f>
        <v>6826.67</v>
      </c>
    </row>
    <row r="4" spans="1:9" x14ac:dyDescent="0.25">
      <c r="A4" s="77" t="s">
        <v>51</v>
      </c>
      <c r="B4" s="153">
        <v>1156</v>
      </c>
      <c r="C4" s="153">
        <v>1164</v>
      </c>
      <c r="D4" s="153">
        <v>1110</v>
      </c>
      <c r="E4" s="154">
        <f t="shared" si="0"/>
        <v>1143.33</v>
      </c>
      <c r="F4" s="77">
        <v>4721</v>
      </c>
      <c r="G4" s="77">
        <v>3744</v>
      </c>
      <c r="H4" s="77">
        <v>6198</v>
      </c>
      <c r="I4" s="79">
        <f t="shared" si="1"/>
        <v>4887.67</v>
      </c>
    </row>
    <row r="5" spans="1:9" x14ac:dyDescent="0.25">
      <c r="A5" s="77" t="s">
        <v>52</v>
      </c>
      <c r="B5" s="153">
        <v>1580</v>
      </c>
      <c r="C5" s="153">
        <v>1522</v>
      </c>
      <c r="D5" s="153">
        <v>1597</v>
      </c>
      <c r="E5" s="154">
        <f t="shared" si="0"/>
        <v>1566.33</v>
      </c>
      <c r="F5" s="77">
        <v>3894</v>
      </c>
      <c r="G5" s="77">
        <v>4755</v>
      </c>
      <c r="H5" s="77">
        <v>8024</v>
      </c>
      <c r="I5" s="79">
        <f t="shared" si="1"/>
        <v>5557.67</v>
      </c>
    </row>
    <row r="6" spans="1:9" x14ac:dyDescent="0.25">
      <c r="A6" s="77" t="s">
        <v>53</v>
      </c>
      <c r="B6" s="153">
        <v>3836</v>
      </c>
      <c r="C6" s="153">
        <v>3651</v>
      </c>
      <c r="D6" s="153">
        <v>3584</v>
      </c>
      <c r="E6" s="154">
        <f t="shared" si="0"/>
        <v>3690.33</v>
      </c>
      <c r="F6" s="77">
        <v>9347</v>
      </c>
      <c r="G6" s="77">
        <v>11092</v>
      </c>
      <c r="H6" s="77">
        <v>14097</v>
      </c>
      <c r="I6" s="79">
        <f t="shared" si="1"/>
        <v>11512</v>
      </c>
    </row>
    <row r="7" spans="1:9" x14ac:dyDescent="0.25">
      <c r="A7" s="77" t="s">
        <v>54</v>
      </c>
      <c r="B7" s="153">
        <v>9086</v>
      </c>
      <c r="C7" s="153">
        <v>8956</v>
      </c>
      <c r="D7" s="153">
        <v>8833</v>
      </c>
      <c r="E7" s="154">
        <f t="shared" si="0"/>
        <v>8958.33</v>
      </c>
      <c r="F7" s="77">
        <v>36443</v>
      </c>
      <c r="G7" s="77">
        <v>27003</v>
      </c>
      <c r="H7" s="77">
        <v>47887</v>
      </c>
      <c r="I7" s="79">
        <f t="shared" si="1"/>
        <v>37111</v>
      </c>
    </row>
    <row r="8" spans="1:9" x14ac:dyDescent="0.25">
      <c r="A8" s="77" t="s">
        <v>55</v>
      </c>
      <c r="B8" s="153">
        <v>1994</v>
      </c>
      <c r="C8" s="153">
        <v>1979</v>
      </c>
      <c r="D8" s="153">
        <v>2006</v>
      </c>
      <c r="E8" s="154">
        <f t="shared" si="0"/>
        <v>1993</v>
      </c>
      <c r="F8" s="77">
        <v>4815</v>
      </c>
      <c r="G8" s="77">
        <v>8449</v>
      </c>
      <c r="H8" s="77">
        <v>12103</v>
      </c>
      <c r="I8" s="79">
        <f t="shared" si="1"/>
        <v>8455.67</v>
      </c>
    </row>
    <row r="9" spans="1:9" x14ac:dyDescent="0.25">
      <c r="A9" s="77" t="s">
        <v>56</v>
      </c>
      <c r="B9" s="153">
        <v>476</v>
      </c>
      <c r="C9" s="153">
        <v>477</v>
      </c>
      <c r="D9" s="153">
        <v>456</v>
      </c>
      <c r="E9" s="154">
        <f t="shared" si="0"/>
        <v>469.67</v>
      </c>
      <c r="F9" s="77">
        <v>3166</v>
      </c>
      <c r="G9" s="77">
        <v>2024</v>
      </c>
      <c r="H9" s="77">
        <v>3447</v>
      </c>
      <c r="I9" s="79">
        <f t="shared" si="1"/>
        <v>2879</v>
      </c>
    </row>
    <row r="10" spans="1:9" x14ac:dyDescent="0.25">
      <c r="A10" s="77" t="s">
        <v>57</v>
      </c>
      <c r="B10" s="153">
        <v>1357</v>
      </c>
      <c r="C10" s="153">
        <v>1377</v>
      </c>
      <c r="D10" s="153">
        <v>1327</v>
      </c>
      <c r="E10" s="154">
        <f t="shared" si="0"/>
        <v>1353.67</v>
      </c>
      <c r="F10" s="77">
        <v>3410</v>
      </c>
      <c r="G10" s="77">
        <v>7380</v>
      </c>
      <c r="H10" s="77">
        <v>8673</v>
      </c>
      <c r="I10" s="79">
        <f t="shared" si="1"/>
        <v>6487.67</v>
      </c>
    </row>
    <row r="11" spans="1:9" x14ac:dyDescent="0.25">
      <c r="A11" s="77" t="s">
        <v>58</v>
      </c>
      <c r="B11" s="153">
        <v>1200</v>
      </c>
      <c r="C11" s="153">
        <v>1108</v>
      </c>
      <c r="D11" s="153">
        <v>1080</v>
      </c>
      <c r="E11" s="154">
        <f t="shared" si="0"/>
        <v>1129.33</v>
      </c>
      <c r="F11" s="77">
        <v>3074</v>
      </c>
      <c r="G11" s="77">
        <v>4329</v>
      </c>
      <c r="H11" s="77">
        <v>7761</v>
      </c>
      <c r="I11" s="79">
        <f t="shared" si="1"/>
        <v>5054.67</v>
      </c>
    </row>
    <row r="12" spans="1:9" x14ac:dyDescent="0.25">
      <c r="A12" s="77" t="s">
        <v>59</v>
      </c>
      <c r="B12" s="153">
        <v>15475</v>
      </c>
      <c r="C12" s="153">
        <v>15041</v>
      </c>
      <c r="D12" s="153">
        <v>14624</v>
      </c>
      <c r="E12" s="154">
        <f t="shared" si="0"/>
        <v>15046.67</v>
      </c>
      <c r="F12" s="77">
        <v>31777</v>
      </c>
      <c r="G12" s="77">
        <v>39648</v>
      </c>
      <c r="H12" s="77">
        <v>80566</v>
      </c>
      <c r="I12" s="79">
        <f t="shared" si="1"/>
        <v>50663.67</v>
      </c>
    </row>
    <row r="13" spans="1:9" x14ac:dyDescent="0.25">
      <c r="A13" s="77" t="s">
        <v>60</v>
      </c>
      <c r="B13" s="153">
        <v>1399</v>
      </c>
      <c r="C13" s="153">
        <v>1325</v>
      </c>
      <c r="D13" s="153">
        <v>1341</v>
      </c>
      <c r="E13" s="154">
        <f t="shared" si="0"/>
        <v>1355</v>
      </c>
      <c r="F13" s="77">
        <v>5624</v>
      </c>
      <c r="G13" s="77">
        <v>8718</v>
      </c>
      <c r="H13" s="77">
        <v>17077</v>
      </c>
      <c r="I13" s="79">
        <f t="shared" si="1"/>
        <v>10473</v>
      </c>
    </row>
    <row r="14" spans="1:9" x14ac:dyDescent="0.25">
      <c r="A14" s="77" t="s">
        <v>61</v>
      </c>
      <c r="B14" s="153">
        <v>3633</v>
      </c>
      <c r="C14" s="153">
        <v>3556</v>
      </c>
      <c r="D14" s="153">
        <v>3414</v>
      </c>
      <c r="E14" s="154">
        <f t="shared" si="0"/>
        <v>3534.33</v>
      </c>
      <c r="F14" s="77">
        <v>12285</v>
      </c>
      <c r="G14" s="77">
        <v>23034</v>
      </c>
      <c r="H14" s="77">
        <v>14819</v>
      </c>
      <c r="I14" s="79">
        <f t="shared" si="1"/>
        <v>16712.669999999998</v>
      </c>
    </row>
    <row r="15" spans="1:9" x14ac:dyDescent="0.25">
      <c r="A15" s="77" t="s">
        <v>62</v>
      </c>
      <c r="B15" s="153">
        <v>1342</v>
      </c>
      <c r="C15" s="153">
        <v>1237</v>
      </c>
      <c r="D15" s="153">
        <v>1213</v>
      </c>
      <c r="E15" s="154">
        <f t="shared" si="0"/>
        <v>1264</v>
      </c>
      <c r="F15" s="77">
        <v>3589</v>
      </c>
      <c r="G15" s="77">
        <v>5147</v>
      </c>
      <c r="H15" s="77">
        <v>7193</v>
      </c>
      <c r="I15" s="79">
        <f t="shared" si="1"/>
        <v>5309.67</v>
      </c>
    </row>
    <row r="16" spans="1:9" x14ac:dyDescent="0.25">
      <c r="A16" s="87" t="s">
        <v>63</v>
      </c>
      <c r="B16" s="87">
        <v>715</v>
      </c>
      <c r="C16" s="87">
        <v>763</v>
      </c>
      <c r="D16" s="87">
        <v>692</v>
      </c>
      <c r="E16" s="155">
        <f t="shared" si="0"/>
        <v>723.33</v>
      </c>
      <c r="F16" s="156">
        <v>2257</v>
      </c>
      <c r="G16" s="156">
        <v>2479</v>
      </c>
      <c r="H16" s="156">
        <v>2877</v>
      </c>
      <c r="I16" s="157">
        <f t="shared" si="1"/>
        <v>2537.67</v>
      </c>
    </row>
    <row r="17" spans="1:9" x14ac:dyDescent="0.25">
      <c r="A17" s="77" t="s">
        <v>64</v>
      </c>
      <c r="B17" s="153">
        <v>9</v>
      </c>
      <c r="C17" s="153">
        <v>7</v>
      </c>
      <c r="D17" s="153">
        <v>3</v>
      </c>
      <c r="E17" s="154">
        <f t="shared" si="0"/>
        <v>6.33</v>
      </c>
      <c r="F17" s="77">
        <v>0</v>
      </c>
      <c r="G17" s="77">
        <v>0</v>
      </c>
      <c r="H17" s="77">
        <v>0</v>
      </c>
      <c r="I17" s="79">
        <f t="shared" si="1"/>
        <v>0</v>
      </c>
    </row>
    <row r="18" spans="1:9" x14ac:dyDescent="0.25">
      <c r="A18" s="77" t="s">
        <v>65</v>
      </c>
      <c r="B18" s="153">
        <v>5</v>
      </c>
      <c r="C18" s="153">
        <v>2</v>
      </c>
      <c r="D18" s="153">
        <v>3</v>
      </c>
      <c r="E18" s="154">
        <f t="shared" si="0"/>
        <v>3.33</v>
      </c>
      <c r="F18" s="77">
        <v>0</v>
      </c>
      <c r="G18" s="77">
        <v>0</v>
      </c>
      <c r="H18" s="77">
        <v>0</v>
      </c>
      <c r="I18" s="79">
        <f t="shared" si="1"/>
        <v>0</v>
      </c>
    </row>
    <row r="19" spans="1:9" x14ac:dyDescent="0.25">
      <c r="A19" s="77" t="s">
        <v>66</v>
      </c>
      <c r="B19" s="153">
        <v>12</v>
      </c>
      <c r="C19" s="153">
        <v>10</v>
      </c>
      <c r="D19" s="153">
        <v>10</v>
      </c>
      <c r="E19" s="154">
        <f t="shared" si="0"/>
        <v>10.67</v>
      </c>
      <c r="F19" s="77">
        <v>0</v>
      </c>
      <c r="G19" s="77">
        <v>0</v>
      </c>
      <c r="H19" s="77">
        <v>0</v>
      </c>
      <c r="I19" s="79">
        <f t="shared" si="1"/>
        <v>0</v>
      </c>
    </row>
    <row r="20" spans="1:9" x14ac:dyDescent="0.25">
      <c r="A20" s="77" t="s">
        <v>67</v>
      </c>
      <c r="B20" s="153">
        <v>26</v>
      </c>
      <c r="C20" s="153">
        <v>19</v>
      </c>
      <c r="D20" s="153">
        <v>18</v>
      </c>
      <c r="E20" s="154">
        <f t="shared" si="0"/>
        <v>21</v>
      </c>
      <c r="F20" s="77">
        <v>0</v>
      </c>
      <c r="G20" s="77">
        <v>0</v>
      </c>
      <c r="H20" s="77">
        <v>0</v>
      </c>
      <c r="I20" s="79">
        <f t="shared" si="1"/>
        <v>0</v>
      </c>
    </row>
    <row r="21" spans="1:9" x14ac:dyDescent="0.25">
      <c r="A21" s="77" t="s">
        <v>68</v>
      </c>
      <c r="B21" s="153">
        <v>16</v>
      </c>
      <c r="C21" s="153">
        <v>17</v>
      </c>
      <c r="D21" s="153">
        <v>10</v>
      </c>
      <c r="E21" s="154">
        <f t="shared" si="0"/>
        <v>14.33</v>
      </c>
      <c r="F21" s="77">
        <v>0</v>
      </c>
      <c r="G21" s="77">
        <v>0</v>
      </c>
      <c r="H21" s="77">
        <v>0</v>
      </c>
      <c r="I21" s="79">
        <f t="shared" si="1"/>
        <v>0</v>
      </c>
    </row>
    <row r="22" spans="1:9" x14ac:dyDescent="0.25">
      <c r="A22" s="77" t="s">
        <v>69</v>
      </c>
      <c r="B22" s="153">
        <v>12</v>
      </c>
      <c r="C22" s="153">
        <v>6</v>
      </c>
      <c r="D22" s="153">
        <v>10</v>
      </c>
      <c r="E22" s="154">
        <f t="shared" si="0"/>
        <v>9.33</v>
      </c>
      <c r="F22" s="77">
        <v>0</v>
      </c>
      <c r="G22" s="77">
        <v>0</v>
      </c>
      <c r="H22" s="77">
        <v>0</v>
      </c>
      <c r="I22" s="79">
        <f t="shared" si="1"/>
        <v>0</v>
      </c>
    </row>
    <row r="23" spans="1:9" x14ac:dyDescent="0.25">
      <c r="A23" s="87" t="s">
        <v>70</v>
      </c>
      <c r="B23" s="87">
        <v>277</v>
      </c>
      <c r="C23" s="87">
        <v>310</v>
      </c>
      <c r="D23" s="87">
        <v>270</v>
      </c>
      <c r="E23" s="155">
        <f t="shared" si="0"/>
        <v>285.67</v>
      </c>
      <c r="F23" s="158">
        <v>2713</v>
      </c>
      <c r="G23" s="158">
        <v>5707</v>
      </c>
      <c r="H23" s="158">
        <v>6805</v>
      </c>
      <c r="I23" s="157">
        <f t="shared" si="1"/>
        <v>5075</v>
      </c>
    </row>
    <row r="24" spans="1:9" x14ac:dyDescent="0.25">
      <c r="A24" s="77" t="s">
        <v>71</v>
      </c>
      <c r="B24" s="153">
        <v>200</v>
      </c>
      <c r="C24" s="153">
        <v>203</v>
      </c>
      <c r="D24" s="153">
        <v>162</v>
      </c>
      <c r="E24" s="154">
        <f t="shared" si="0"/>
        <v>188.33</v>
      </c>
      <c r="F24" s="77">
        <v>0</v>
      </c>
      <c r="G24" s="77">
        <v>0</v>
      </c>
      <c r="H24" s="77">
        <v>0</v>
      </c>
      <c r="I24" s="79">
        <f t="shared" si="1"/>
        <v>0</v>
      </c>
    </row>
    <row r="25" spans="1:9" x14ac:dyDescent="0.25">
      <c r="A25" s="77" t="s">
        <v>72</v>
      </c>
      <c r="B25" s="153">
        <v>27</v>
      </c>
      <c r="C25" s="153">
        <v>15</v>
      </c>
      <c r="D25" s="153">
        <v>15</v>
      </c>
      <c r="E25" s="154">
        <f t="shared" si="0"/>
        <v>19</v>
      </c>
      <c r="F25" s="77">
        <v>0</v>
      </c>
      <c r="G25" s="77">
        <v>0</v>
      </c>
      <c r="H25" s="77">
        <v>0</v>
      </c>
      <c r="I25" s="79">
        <f t="shared" si="1"/>
        <v>0</v>
      </c>
    </row>
    <row r="26" spans="1:9" x14ac:dyDescent="0.25">
      <c r="A26" s="77" t="s">
        <v>73</v>
      </c>
      <c r="B26" s="153">
        <v>83</v>
      </c>
      <c r="C26" s="153">
        <v>77</v>
      </c>
      <c r="D26" s="153">
        <v>104</v>
      </c>
      <c r="E26" s="154">
        <f t="shared" si="0"/>
        <v>88</v>
      </c>
      <c r="F26" s="77">
        <v>0</v>
      </c>
      <c r="G26" s="77">
        <v>0</v>
      </c>
      <c r="H26" s="77">
        <v>0</v>
      </c>
      <c r="I26" s="79">
        <f t="shared" si="1"/>
        <v>0</v>
      </c>
    </row>
    <row r="27" spans="1:9" x14ac:dyDescent="0.25">
      <c r="A27" s="77" t="s">
        <v>74</v>
      </c>
      <c r="B27" s="153">
        <v>23</v>
      </c>
      <c r="C27" s="153">
        <v>31</v>
      </c>
      <c r="D27" s="153">
        <v>31</v>
      </c>
      <c r="E27" s="154">
        <f t="shared" si="0"/>
        <v>28.33</v>
      </c>
      <c r="F27" s="77">
        <v>0</v>
      </c>
      <c r="G27" s="77">
        <v>0</v>
      </c>
      <c r="H27" s="77">
        <v>0</v>
      </c>
      <c r="I27" s="79">
        <f t="shared" si="1"/>
        <v>0</v>
      </c>
    </row>
    <row r="28" spans="1:9" x14ac:dyDescent="0.25">
      <c r="A28" s="77" t="s">
        <v>75</v>
      </c>
      <c r="B28" s="153">
        <v>33</v>
      </c>
      <c r="C28" s="153">
        <v>26</v>
      </c>
      <c r="D28" s="153">
        <v>29</v>
      </c>
      <c r="E28" s="154">
        <f t="shared" si="0"/>
        <v>29.33</v>
      </c>
      <c r="F28" s="77">
        <v>0</v>
      </c>
      <c r="G28" s="77">
        <v>0</v>
      </c>
      <c r="H28" s="77">
        <v>0</v>
      </c>
      <c r="I28" s="79">
        <f t="shared" si="1"/>
        <v>0</v>
      </c>
    </row>
    <row r="29" spans="1:9" x14ac:dyDescent="0.25">
      <c r="A29" s="107" t="s">
        <v>76</v>
      </c>
      <c r="B29" s="107">
        <v>541</v>
      </c>
      <c r="C29" s="107">
        <v>516</v>
      </c>
      <c r="D29" s="107">
        <v>538</v>
      </c>
      <c r="E29" s="159">
        <f t="shared" si="0"/>
        <v>531.66999999999996</v>
      </c>
      <c r="F29" s="160">
        <v>2904</v>
      </c>
      <c r="G29" s="160">
        <v>5603</v>
      </c>
      <c r="H29" s="160">
        <v>5122</v>
      </c>
      <c r="I29" s="161">
        <f t="shared" si="1"/>
        <v>4543</v>
      </c>
    </row>
    <row r="30" spans="1:9" x14ac:dyDescent="0.25">
      <c r="A30" s="77" t="s">
        <v>77</v>
      </c>
      <c r="B30" s="153">
        <v>69</v>
      </c>
      <c r="C30" s="153">
        <v>63</v>
      </c>
      <c r="D30" s="153">
        <v>59</v>
      </c>
      <c r="E30" s="154">
        <f t="shared" si="0"/>
        <v>63.67</v>
      </c>
      <c r="F30" s="77">
        <v>0</v>
      </c>
      <c r="G30" s="77">
        <v>0</v>
      </c>
      <c r="H30" s="77">
        <v>0</v>
      </c>
      <c r="I30" s="79">
        <f t="shared" si="1"/>
        <v>0</v>
      </c>
    </row>
    <row r="31" spans="1:9" x14ac:dyDescent="0.25">
      <c r="A31" s="77" t="s">
        <v>78</v>
      </c>
      <c r="B31" s="153">
        <v>87</v>
      </c>
      <c r="C31" s="153">
        <v>72</v>
      </c>
      <c r="D31" s="153">
        <v>61</v>
      </c>
      <c r="E31" s="154">
        <f t="shared" si="0"/>
        <v>73.33</v>
      </c>
      <c r="F31" s="77">
        <v>0</v>
      </c>
      <c r="G31" s="77">
        <v>0</v>
      </c>
      <c r="H31" s="77">
        <v>0</v>
      </c>
      <c r="I31" s="79">
        <f t="shared" si="1"/>
        <v>0</v>
      </c>
    </row>
    <row r="32" spans="1:9" x14ac:dyDescent="0.25">
      <c r="A32" s="77" t="s">
        <v>79</v>
      </c>
      <c r="B32" s="153">
        <v>53</v>
      </c>
      <c r="C32" s="153">
        <v>60</v>
      </c>
      <c r="D32" s="153">
        <v>42</v>
      </c>
      <c r="E32" s="154">
        <f t="shared" si="0"/>
        <v>51.67</v>
      </c>
      <c r="F32" s="77">
        <v>0</v>
      </c>
      <c r="G32" s="77">
        <v>0</v>
      </c>
      <c r="H32" s="77">
        <v>0</v>
      </c>
      <c r="I32" s="79">
        <f t="shared" si="1"/>
        <v>0</v>
      </c>
    </row>
    <row r="33" spans="1:9" x14ac:dyDescent="0.25">
      <c r="A33" s="77" t="s">
        <v>80</v>
      </c>
      <c r="B33" s="153">
        <v>21</v>
      </c>
      <c r="C33" s="153">
        <v>0</v>
      </c>
      <c r="D33" s="153">
        <v>0</v>
      </c>
      <c r="E33" s="154">
        <f t="shared" si="0"/>
        <v>7</v>
      </c>
      <c r="F33" s="77">
        <v>0</v>
      </c>
      <c r="G33" s="77">
        <v>0</v>
      </c>
      <c r="H33" s="77">
        <v>0</v>
      </c>
      <c r="I33" s="79">
        <f t="shared" si="1"/>
        <v>0</v>
      </c>
    </row>
    <row r="34" spans="1:9" x14ac:dyDescent="0.25">
      <c r="A34" s="77" t="s">
        <v>81</v>
      </c>
      <c r="B34" s="153">
        <v>42</v>
      </c>
      <c r="C34" s="153">
        <v>40</v>
      </c>
      <c r="D34" s="153">
        <v>39</v>
      </c>
      <c r="E34" s="154">
        <f t="shared" si="0"/>
        <v>40.33</v>
      </c>
      <c r="F34" s="77">
        <v>0</v>
      </c>
      <c r="G34" s="77">
        <v>0</v>
      </c>
      <c r="H34" s="77">
        <v>0</v>
      </c>
      <c r="I34" s="79">
        <f t="shared" si="1"/>
        <v>0</v>
      </c>
    </row>
    <row r="35" spans="1:9" x14ac:dyDescent="0.25">
      <c r="A35" s="77" t="s">
        <v>82</v>
      </c>
      <c r="B35" s="153">
        <v>86</v>
      </c>
      <c r="C35" s="153">
        <v>91</v>
      </c>
      <c r="D35" s="153">
        <v>57</v>
      </c>
      <c r="E35" s="154">
        <f t="shared" si="0"/>
        <v>78</v>
      </c>
      <c r="F35" s="77">
        <v>0</v>
      </c>
      <c r="G35" s="77">
        <v>0</v>
      </c>
      <c r="H35" s="77">
        <v>0</v>
      </c>
      <c r="I35" s="79">
        <f t="shared" si="1"/>
        <v>0</v>
      </c>
    </row>
    <row r="36" spans="1:9" x14ac:dyDescent="0.25">
      <c r="A36" s="77" t="s">
        <v>83</v>
      </c>
      <c r="B36" s="153">
        <v>39</v>
      </c>
      <c r="C36" s="153">
        <v>29</v>
      </c>
      <c r="D36" s="153">
        <v>24</v>
      </c>
      <c r="E36" s="154">
        <f t="shared" si="0"/>
        <v>30.67</v>
      </c>
      <c r="F36" s="77">
        <v>0</v>
      </c>
      <c r="G36" s="77">
        <v>0</v>
      </c>
      <c r="H36" s="77">
        <v>0</v>
      </c>
      <c r="I36" s="79">
        <f t="shared" si="1"/>
        <v>0</v>
      </c>
    </row>
    <row r="37" spans="1:9" x14ac:dyDescent="0.25">
      <c r="A37" s="77" t="s">
        <v>84</v>
      </c>
      <c r="B37" s="153">
        <v>36</v>
      </c>
      <c r="C37" s="153">
        <v>30</v>
      </c>
      <c r="D37" s="153">
        <v>32</v>
      </c>
      <c r="E37" s="154">
        <f t="shared" si="0"/>
        <v>32.67</v>
      </c>
      <c r="F37" s="77">
        <v>0</v>
      </c>
      <c r="G37" s="77">
        <v>0</v>
      </c>
      <c r="H37" s="77">
        <v>0</v>
      </c>
      <c r="I37" s="79">
        <f t="shared" si="1"/>
        <v>0</v>
      </c>
    </row>
    <row r="38" spans="1:9" x14ac:dyDescent="0.25">
      <c r="A38" s="77" t="s">
        <v>85</v>
      </c>
      <c r="B38" s="153">
        <v>21</v>
      </c>
      <c r="C38" s="153">
        <v>3</v>
      </c>
      <c r="D38" s="153">
        <v>8</v>
      </c>
      <c r="E38" s="154">
        <f t="shared" si="0"/>
        <v>10.67</v>
      </c>
      <c r="F38" s="77">
        <v>0</v>
      </c>
      <c r="G38" s="77">
        <v>0</v>
      </c>
      <c r="H38" s="77">
        <v>0</v>
      </c>
      <c r="I38" s="79">
        <f t="shared" si="1"/>
        <v>0</v>
      </c>
    </row>
    <row r="39" spans="1:9" x14ac:dyDescent="0.25">
      <c r="A39" s="107" t="s">
        <v>86</v>
      </c>
      <c r="B39" s="107">
        <v>394</v>
      </c>
      <c r="C39" s="107">
        <v>418</v>
      </c>
      <c r="D39" s="107">
        <v>446</v>
      </c>
      <c r="E39" s="159">
        <f t="shared" si="0"/>
        <v>419.33</v>
      </c>
      <c r="F39" s="160">
        <v>3243</v>
      </c>
      <c r="G39" s="160">
        <v>4141</v>
      </c>
      <c r="H39" s="160">
        <v>4954</v>
      </c>
      <c r="I39" s="161">
        <f t="shared" si="1"/>
        <v>4112.67</v>
      </c>
    </row>
    <row r="40" spans="1:9" x14ac:dyDescent="0.25">
      <c r="A40" s="77" t="s">
        <v>87</v>
      </c>
      <c r="B40" s="153">
        <v>37</v>
      </c>
      <c r="C40" s="153">
        <v>28</v>
      </c>
      <c r="D40" s="153">
        <v>19</v>
      </c>
      <c r="E40" s="154">
        <f t="shared" si="0"/>
        <v>28</v>
      </c>
      <c r="F40" s="77">
        <v>0</v>
      </c>
      <c r="G40" s="77">
        <v>0</v>
      </c>
      <c r="H40" s="77">
        <v>0</v>
      </c>
      <c r="I40" s="79">
        <f t="shared" si="1"/>
        <v>0</v>
      </c>
    </row>
    <row r="41" spans="1:9" x14ac:dyDescent="0.25">
      <c r="A41" s="77" t="s">
        <v>88</v>
      </c>
      <c r="B41" s="153">
        <v>464</v>
      </c>
      <c r="C41" s="153">
        <v>388</v>
      </c>
      <c r="D41" s="153">
        <v>439</v>
      </c>
      <c r="E41" s="154">
        <f t="shared" si="0"/>
        <v>430.33</v>
      </c>
      <c r="F41" s="77">
        <v>0</v>
      </c>
      <c r="G41" s="77">
        <v>0</v>
      </c>
      <c r="H41" s="77">
        <v>0</v>
      </c>
      <c r="I41" s="79">
        <f t="shared" si="1"/>
        <v>0</v>
      </c>
    </row>
    <row r="42" spans="1:9" x14ac:dyDescent="0.25">
      <c r="A42" s="77" t="s">
        <v>89</v>
      </c>
      <c r="B42" s="153">
        <v>140</v>
      </c>
      <c r="C42" s="153">
        <v>135</v>
      </c>
      <c r="D42" s="153">
        <v>101</v>
      </c>
      <c r="E42" s="154">
        <f t="shared" si="0"/>
        <v>125.33</v>
      </c>
      <c r="F42" s="77">
        <v>0</v>
      </c>
      <c r="G42" s="77">
        <v>0</v>
      </c>
      <c r="H42" s="77">
        <v>0</v>
      </c>
      <c r="I42" s="79">
        <f t="shared" si="1"/>
        <v>0</v>
      </c>
    </row>
    <row r="43" spans="1:9" x14ac:dyDescent="0.25">
      <c r="A43" s="77" t="s">
        <v>90</v>
      </c>
      <c r="B43" s="153">
        <v>6</v>
      </c>
      <c r="C43" s="162">
        <v>4</v>
      </c>
      <c r="D43" s="153">
        <v>3</v>
      </c>
      <c r="E43" s="154">
        <f t="shared" si="0"/>
        <v>4.33</v>
      </c>
      <c r="F43" s="77">
        <v>0</v>
      </c>
      <c r="G43" s="77">
        <v>0</v>
      </c>
      <c r="H43" s="77">
        <v>0</v>
      </c>
      <c r="I43" s="79">
        <f t="shared" si="1"/>
        <v>0</v>
      </c>
    </row>
    <row r="44" spans="1:9" x14ac:dyDescent="0.25">
      <c r="A44" s="107" t="s">
        <v>91</v>
      </c>
      <c r="B44" s="107">
        <v>874</v>
      </c>
      <c r="C44" s="107">
        <v>807</v>
      </c>
      <c r="D44" s="107">
        <v>708</v>
      </c>
      <c r="E44" s="159">
        <f t="shared" si="0"/>
        <v>796.33</v>
      </c>
      <c r="F44" s="160">
        <v>2315</v>
      </c>
      <c r="G44" s="160">
        <v>4511</v>
      </c>
      <c r="H44" s="160">
        <v>4649</v>
      </c>
      <c r="I44" s="161">
        <f t="shared" si="1"/>
        <v>3825</v>
      </c>
    </row>
    <row r="45" spans="1:9" x14ac:dyDescent="0.25">
      <c r="A45" s="77" t="s">
        <v>92</v>
      </c>
      <c r="B45" s="153">
        <v>17</v>
      </c>
      <c r="C45" s="153">
        <v>16</v>
      </c>
      <c r="D45" s="153">
        <v>18</v>
      </c>
      <c r="E45" s="154">
        <f t="shared" si="0"/>
        <v>17</v>
      </c>
      <c r="F45" s="77">
        <v>0</v>
      </c>
      <c r="G45" s="77">
        <v>0</v>
      </c>
      <c r="H45" s="77">
        <v>0</v>
      </c>
      <c r="I45" s="79">
        <f t="shared" si="1"/>
        <v>0</v>
      </c>
    </row>
    <row r="46" spans="1:9" x14ac:dyDescent="0.25">
      <c r="A46" s="77" t="s">
        <v>93</v>
      </c>
      <c r="B46" s="153">
        <v>8</v>
      </c>
      <c r="C46" s="153">
        <v>6</v>
      </c>
      <c r="D46" s="153">
        <v>0</v>
      </c>
      <c r="E46" s="154">
        <f t="shared" si="0"/>
        <v>4.67</v>
      </c>
      <c r="F46" s="77">
        <v>0</v>
      </c>
      <c r="G46" s="77">
        <v>0</v>
      </c>
      <c r="H46" s="77">
        <v>0</v>
      </c>
      <c r="I46" s="79">
        <f t="shared" si="1"/>
        <v>0</v>
      </c>
    </row>
    <row r="47" spans="1:9" x14ac:dyDescent="0.25">
      <c r="A47" s="77" t="s">
        <v>94</v>
      </c>
      <c r="B47" s="153">
        <v>20</v>
      </c>
      <c r="C47" s="153">
        <v>7</v>
      </c>
      <c r="D47" s="153">
        <v>5</v>
      </c>
      <c r="E47" s="154">
        <f t="shared" si="0"/>
        <v>10.67</v>
      </c>
      <c r="F47" s="77">
        <v>0</v>
      </c>
      <c r="G47" s="77">
        <v>0</v>
      </c>
      <c r="H47" s="77">
        <v>0</v>
      </c>
      <c r="I47" s="79">
        <f t="shared" si="1"/>
        <v>0</v>
      </c>
    </row>
    <row r="48" spans="1:9" x14ac:dyDescent="0.25">
      <c r="A48" s="77" t="s">
        <v>95</v>
      </c>
      <c r="B48" s="153">
        <v>11</v>
      </c>
      <c r="C48" s="153">
        <v>7</v>
      </c>
      <c r="D48" s="153">
        <v>5</v>
      </c>
      <c r="E48" s="154">
        <f t="shared" si="0"/>
        <v>7.67</v>
      </c>
      <c r="F48" s="77">
        <v>0</v>
      </c>
      <c r="G48" s="77">
        <v>0</v>
      </c>
      <c r="H48" s="77">
        <v>0</v>
      </c>
      <c r="I48" s="79">
        <f t="shared" si="1"/>
        <v>0</v>
      </c>
    </row>
    <row r="49" spans="1:9" x14ac:dyDescent="0.25">
      <c r="A49" s="77" t="s">
        <v>96</v>
      </c>
      <c r="B49" s="153">
        <v>16</v>
      </c>
      <c r="C49" s="153">
        <v>17</v>
      </c>
      <c r="D49" s="153">
        <v>1</v>
      </c>
      <c r="E49" s="154">
        <f t="shared" si="0"/>
        <v>11.33</v>
      </c>
      <c r="F49" s="77">
        <v>0</v>
      </c>
      <c r="G49" s="77">
        <v>0</v>
      </c>
      <c r="H49" s="77">
        <v>0</v>
      </c>
      <c r="I49" s="79">
        <f t="shared" si="1"/>
        <v>0</v>
      </c>
    </row>
    <row r="50" spans="1:9" x14ac:dyDescent="0.25">
      <c r="A50" s="77" t="s">
        <v>97</v>
      </c>
      <c r="B50" s="153">
        <v>151</v>
      </c>
      <c r="C50" s="153">
        <v>147</v>
      </c>
      <c r="D50" s="153">
        <v>126</v>
      </c>
      <c r="E50" s="154">
        <f t="shared" si="0"/>
        <v>141.33000000000001</v>
      </c>
      <c r="F50" s="77">
        <v>0</v>
      </c>
      <c r="G50" s="77">
        <v>0</v>
      </c>
      <c r="H50" s="77">
        <v>0</v>
      </c>
      <c r="I50" s="79">
        <f t="shared" si="1"/>
        <v>0</v>
      </c>
    </row>
    <row r="51" spans="1:9" x14ac:dyDescent="0.25">
      <c r="A51" s="77" t="s">
        <v>98</v>
      </c>
      <c r="B51" s="153">
        <v>2</v>
      </c>
      <c r="C51" s="153">
        <v>4</v>
      </c>
      <c r="D51" s="153">
        <v>1</v>
      </c>
      <c r="E51" s="154">
        <f t="shared" si="0"/>
        <v>2.33</v>
      </c>
      <c r="F51" s="77">
        <v>0</v>
      </c>
      <c r="G51" s="77">
        <v>0</v>
      </c>
      <c r="H51" s="77">
        <v>0</v>
      </c>
      <c r="I51" s="79">
        <f t="shared" si="1"/>
        <v>0</v>
      </c>
    </row>
    <row r="52" spans="1:9" x14ac:dyDescent="0.25">
      <c r="A52" s="107" t="s">
        <v>99</v>
      </c>
      <c r="B52" s="107">
        <v>185</v>
      </c>
      <c r="C52" s="107">
        <v>173</v>
      </c>
      <c r="D52" s="107">
        <v>171</v>
      </c>
      <c r="E52" s="159">
        <f t="shared" si="0"/>
        <v>176.33</v>
      </c>
      <c r="F52" s="160">
        <v>2897</v>
      </c>
      <c r="G52" s="160">
        <v>4068</v>
      </c>
      <c r="H52" s="160">
        <v>5647</v>
      </c>
      <c r="I52" s="161">
        <f t="shared" si="1"/>
        <v>4204</v>
      </c>
    </row>
    <row r="53" spans="1:9" x14ac:dyDescent="0.25">
      <c r="A53" s="77" t="s">
        <v>100</v>
      </c>
      <c r="B53" s="153">
        <v>36</v>
      </c>
      <c r="C53" s="153">
        <v>22</v>
      </c>
      <c r="D53" s="153">
        <v>23</v>
      </c>
      <c r="E53" s="154">
        <f t="shared" si="0"/>
        <v>27</v>
      </c>
      <c r="F53" s="77">
        <v>0</v>
      </c>
      <c r="G53" s="77">
        <v>0</v>
      </c>
      <c r="H53" s="77">
        <v>0</v>
      </c>
      <c r="I53" s="79">
        <f t="shared" si="1"/>
        <v>0</v>
      </c>
    </row>
    <row r="54" spans="1:9" x14ac:dyDescent="0.25">
      <c r="A54" s="77" t="s">
        <v>101</v>
      </c>
      <c r="B54" s="153">
        <v>29</v>
      </c>
      <c r="C54" s="153">
        <v>37</v>
      </c>
      <c r="D54" s="153">
        <v>41</v>
      </c>
      <c r="E54" s="154">
        <f t="shared" si="0"/>
        <v>35.67</v>
      </c>
      <c r="F54" s="77">
        <v>0</v>
      </c>
      <c r="G54" s="77">
        <v>0</v>
      </c>
      <c r="H54" s="77">
        <v>0</v>
      </c>
      <c r="I54" s="79">
        <f t="shared" si="1"/>
        <v>0</v>
      </c>
    </row>
    <row r="55" spans="1:9" x14ac:dyDescent="0.25">
      <c r="A55" s="77" t="s">
        <v>102</v>
      </c>
      <c r="B55" s="153">
        <v>71</v>
      </c>
      <c r="C55" s="153">
        <v>73</v>
      </c>
      <c r="D55" s="153">
        <v>68</v>
      </c>
      <c r="E55" s="154">
        <f t="shared" si="0"/>
        <v>70.67</v>
      </c>
      <c r="F55" s="77">
        <v>0</v>
      </c>
      <c r="G55" s="77">
        <v>0</v>
      </c>
      <c r="H55" s="77">
        <v>0</v>
      </c>
      <c r="I55" s="79">
        <f t="shared" si="1"/>
        <v>0</v>
      </c>
    </row>
    <row r="56" spans="1:9" x14ac:dyDescent="0.25">
      <c r="A56" s="77" t="s">
        <v>103</v>
      </c>
      <c r="B56" s="153">
        <v>251</v>
      </c>
      <c r="C56" s="153">
        <v>251</v>
      </c>
      <c r="D56" s="153">
        <v>201</v>
      </c>
      <c r="E56" s="154">
        <f t="shared" si="0"/>
        <v>234.33</v>
      </c>
      <c r="F56" s="77">
        <v>0</v>
      </c>
      <c r="G56" s="77">
        <v>0</v>
      </c>
      <c r="H56" s="77">
        <v>0</v>
      </c>
      <c r="I56" s="79">
        <f t="shared" si="1"/>
        <v>0</v>
      </c>
    </row>
    <row r="57" spans="1:9" x14ac:dyDescent="0.25">
      <c r="A57" s="77" t="s">
        <v>104</v>
      </c>
      <c r="B57" s="153">
        <v>31</v>
      </c>
      <c r="C57" s="153">
        <v>27</v>
      </c>
      <c r="D57" s="153">
        <v>34</v>
      </c>
      <c r="E57" s="154">
        <f t="shared" si="0"/>
        <v>30.67</v>
      </c>
      <c r="F57" s="77">
        <v>0</v>
      </c>
      <c r="G57" s="77">
        <v>0</v>
      </c>
      <c r="H57" s="77">
        <v>0</v>
      </c>
      <c r="I57" s="79">
        <f t="shared" si="1"/>
        <v>0</v>
      </c>
    </row>
    <row r="58" spans="1:9" x14ac:dyDescent="0.25">
      <c r="A58" s="77" t="s">
        <v>105</v>
      </c>
      <c r="B58" s="153">
        <v>75</v>
      </c>
      <c r="C58" s="153">
        <v>111</v>
      </c>
      <c r="D58" s="153">
        <v>74</v>
      </c>
      <c r="E58" s="154">
        <f t="shared" si="0"/>
        <v>86.67</v>
      </c>
      <c r="F58" s="77">
        <v>0</v>
      </c>
      <c r="G58" s="77">
        <v>0</v>
      </c>
      <c r="H58" s="77">
        <v>0</v>
      </c>
      <c r="I58" s="79">
        <f t="shared" si="1"/>
        <v>0</v>
      </c>
    </row>
    <row r="59" spans="1:9" x14ac:dyDescent="0.25">
      <c r="A59" s="77" t="s">
        <v>106</v>
      </c>
      <c r="B59" s="153">
        <v>115</v>
      </c>
      <c r="C59" s="153">
        <v>100</v>
      </c>
      <c r="D59" s="153">
        <v>108</v>
      </c>
      <c r="E59" s="154">
        <f t="shared" si="0"/>
        <v>107.67</v>
      </c>
      <c r="F59" s="77">
        <v>0</v>
      </c>
      <c r="G59" s="77">
        <v>0</v>
      </c>
      <c r="H59" s="77">
        <v>0</v>
      </c>
      <c r="I59" s="79">
        <f t="shared" si="1"/>
        <v>0</v>
      </c>
    </row>
    <row r="60" spans="1:9" x14ac:dyDescent="0.25">
      <c r="A60" s="77" t="s">
        <v>107</v>
      </c>
      <c r="B60" s="153">
        <v>20</v>
      </c>
      <c r="C60" s="153">
        <v>19</v>
      </c>
      <c r="D60" s="153">
        <v>22</v>
      </c>
      <c r="E60" s="154">
        <f t="shared" si="0"/>
        <v>20.329999999999998</v>
      </c>
      <c r="F60" s="77">
        <v>0</v>
      </c>
      <c r="G60" s="77">
        <v>0</v>
      </c>
      <c r="H60" s="77">
        <v>0</v>
      </c>
      <c r="I60" s="79">
        <f t="shared" si="1"/>
        <v>0</v>
      </c>
    </row>
    <row r="61" spans="1:9" x14ac:dyDescent="0.25">
      <c r="A61" s="107" t="s">
        <v>108</v>
      </c>
      <c r="B61" s="107">
        <v>1197</v>
      </c>
      <c r="C61" s="107">
        <v>1181</v>
      </c>
      <c r="D61" s="107">
        <v>1152</v>
      </c>
      <c r="E61" s="159">
        <f t="shared" si="0"/>
        <v>1176.67</v>
      </c>
      <c r="F61" s="160">
        <v>5773</v>
      </c>
      <c r="G61" s="160">
        <v>7954</v>
      </c>
      <c r="H61" s="160">
        <v>7859</v>
      </c>
      <c r="I61" s="161">
        <f t="shared" si="1"/>
        <v>7195.33</v>
      </c>
    </row>
    <row r="62" spans="1:9" x14ac:dyDescent="0.25">
      <c r="A62" s="77" t="s">
        <v>109</v>
      </c>
      <c r="B62" s="153">
        <v>24</v>
      </c>
      <c r="C62" s="153">
        <v>12</v>
      </c>
      <c r="D62" s="153">
        <v>16</v>
      </c>
      <c r="E62" s="154">
        <f t="shared" si="0"/>
        <v>17.329999999999998</v>
      </c>
      <c r="F62" s="77">
        <v>0</v>
      </c>
      <c r="G62" s="77">
        <v>0</v>
      </c>
      <c r="H62" s="77">
        <v>0</v>
      </c>
      <c r="I62" s="79">
        <f t="shared" si="1"/>
        <v>0</v>
      </c>
    </row>
    <row r="63" spans="1:9" x14ac:dyDescent="0.25">
      <c r="A63" s="77" t="s">
        <v>110</v>
      </c>
      <c r="B63" s="153">
        <v>50</v>
      </c>
      <c r="C63" s="153">
        <v>37</v>
      </c>
      <c r="D63" s="153">
        <v>23</v>
      </c>
      <c r="E63" s="154">
        <f t="shared" si="0"/>
        <v>36.67</v>
      </c>
      <c r="F63" s="77">
        <v>0</v>
      </c>
      <c r="G63" s="77">
        <v>0</v>
      </c>
      <c r="H63" s="77">
        <v>0</v>
      </c>
      <c r="I63" s="79">
        <f t="shared" si="1"/>
        <v>0</v>
      </c>
    </row>
    <row r="64" spans="1:9" x14ac:dyDescent="0.25">
      <c r="A64" s="77" t="s">
        <v>111</v>
      </c>
      <c r="B64" s="153">
        <v>17</v>
      </c>
      <c r="C64" s="153">
        <v>23</v>
      </c>
      <c r="D64" s="153">
        <v>21</v>
      </c>
      <c r="E64" s="154">
        <f t="shared" si="0"/>
        <v>20.329999999999998</v>
      </c>
      <c r="F64" s="77">
        <v>0</v>
      </c>
      <c r="G64" s="77">
        <v>0</v>
      </c>
      <c r="H64" s="77">
        <v>0</v>
      </c>
      <c r="I64" s="79">
        <f t="shared" si="1"/>
        <v>0</v>
      </c>
    </row>
    <row r="65" spans="1:9" x14ac:dyDescent="0.25">
      <c r="A65" s="77" t="s">
        <v>112</v>
      </c>
      <c r="B65" s="153">
        <v>37</v>
      </c>
      <c r="C65" s="153">
        <v>24</v>
      </c>
      <c r="D65" s="153">
        <v>27</v>
      </c>
      <c r="E65" s="154">
        <f t="shared" si="0"/>
        <v>29.33</v>
      </c>
      <c r="F65" s="77">
        <v>0</v>
      </c>
      <c r="G65" s="77">
        <v>0</v>
      </c>
      <c r="H65" s="77">
        <v>0</v>
      </c>
      <c r="I65" s="79">
        <f t="shared" si="1"/>
        <v>0</v>
      </c>
    </row>
    <row r="66" spans="1:9" x14ac:dyDescent="0.25">
      <c r="A66" s="77" t="s">
        <v>113</v>
      </c>
      <c r="B66" s="153">
        <v>60</v>
      </c>
      <c r="C66" s="153">
        <v>41</v>
      </c>
      <c r="D66" s="153">
        <v>41</v>
      </c>
      <c r="E66" s="154">
        <f t="shared" si="0"/>
        <v>47.33</v>
      </c>
      <c r="F66" s="77">
        <v>0</v>
      </c>
      <c r="G66" s="77">
        <v>0</v>
      </c>
      <c r="H66" s="77">
        <v>0</v>
      </c>
      <c r="I66" s="79">
        <f t="shared" si="1"/>
        <v>0</v>
      </c>
    </row>
    <row r="67" spans="1:9" x14ac:dyDescent="0.25">
      <c r="A67" s="77" t="s">
        <v>114</v>
      </c>
      <c r="B67" s="153">
        <v>131</v>
      </c>
      <c r="C67" s="153">
        <v>126</v>
      </c>
      <c r="D67" s="153">
        <v>93</v>
      </c>
      <c r="E67" s="154">
        <f t="shared" ref="E67" si="2">(B67+C67+D67)/3</f>
        <v>116.67</v>
      </c>
      <c r="F67" s="77">
        <v>0</v>
      </c>
      <c r="G67" s="77">
        <v>0</v>
      </c>
      <c r="H67" s="77">
        <v>0</v>
      </c>
      <c r="I67" s="79">
        <f t="shared" ref="I67" si="3">(F67+G67+H67)/3</f>
        <v>0</v>
      </c>
    </row>
    <row r="68" spans="1:9" x14ac:dyDescent="0.25">
      <c r="A68" s="77" t="s">
        <v>115</v>
      </c>
      <c r="B68" s="153">
        <v>33</v>
      </c>
      <c r="C68" s="153">
        <v>39</v>
      </c>
      <c r="D68" s="153">
        <v>18</v>
      </c>
      <c r="E68" s="154">
        <f t="shared" ref="E68:E89" si="4">(B68+C68+D68)/3</f>
        <v>30</v>
      </c>
      <c r="F68" s="77">
        <v>0</v>
      </c>
      <c r="G68" s="77">
        <v>0</v>
      </c>
      <c r="H68" s="77">
        <v>0</v>
      </c>
      <c r="I68" s="79">
        <f t="shared" ref="I68:I89" si="5">(F68+G68+H68)/3</f>
        <v>0</v>
      </c>
    </row>
    <row r="69" spans="1:9" x14ac:dyDescent="0.25">
      <c r="A69" s="107" t="s">
        <v>116</v>
      </c>
      <c r="B69" s="107">
        <v>838</v>
      </c>
      <c r="C69" s="107">
        <v>1207</v>
      </c>
      <c r="D69" s="107">
        <v>1562</v>
      </c>
      <c r="E69" s="159">
        <f t="shared" si="4"/>
        <v>1202.33</v>
      </c>
      <c r="F69" s="160">
        <v>9818</v>
      </c>
      <c r="G69" s="160">
        <v>12133</v>
      </c>
      <c r="H69" s="160">
        <v>18453</v>
      </c>
      <c r="I69" s="161">
        <f t="shared" si="5"/>
        <v>13468</v>
      </c>
    </row>
    <row r="70" spans="1:9" x14ac:dyDescent="0.25">
      <c r="A70" s="77" t="s">
        <v>117</v>
      </c>
      <c r="B70" s="153">
        <v>158</v>
      </c>
      <c r="C70" s="153">
        <v>124</v>
      </c>
      <c r="D70" s="153">
        <v>126</v>
      </c>
      <c r="E70" s="154">
        <f t="shared" si="4"/>
        <v>136</v>
      </c>
      <c r="F70" s="77">
        <v>0</v>
      </c>
      <c r="G70" s="77">
        <v>0</v>
      </c>
      <c r="H70" s="77">
        <v>0</v>
      </c>
      <c r="I70" s="79">
        <f t="shared" si="5"/>
        <v>0</v>
      </c>
    </row>
    <row r="71" spans="1:9" x14ac:dyDescent="0.25">
      <c r="A71" s="77" t="s">
        <v>118</v>
      </c>
      <c r="B71" s="153">
        <v>447</v>
      </c>
      <c r="C71" s="153">
        <v>481</v>
      </c>
      <c r="D71" s="153">
        <v>394</v>
      </c>
      <c r="E71" s="154">
        <f t="shared" si="4"/>
        <v>440.67</v>
      </c>
      <c r="F71" s="77">
        <v>0</v>
      </c>
      <c r="G71" s="77">
        <v>0</v>
      </c>
      <c r="H71" s="77">
        <v>0</v>
      </c>
      <c r="I71" s="79">
        <f t="shared" si="5"/>
        <v>0</v>
      </c>
    </row>
    <row r="72" spans="1:9" x14ac:dyDescent="0.25">
      <c r="A72" s="77" t="s">
        <v>119</v>
      </c>
      <c r="B72" s="153">
        <v>16</v>
      </c>
      <c r="C72" s="153">
        <v>5</v>
      </c>
      <c r="D72" s="153">
        <v>0</v>
      </c>
      <c r="E72" s="154">
        <f t="shared" si="4"/>
        <v>7</v>
      </c>
      <c r="F72" s="77">
        <v>0</v>
      </c>
      <c r="G72" s="77">
        <v>0</v>
      </c>
      <c r="H72" s="77">
        <v>0</v>
      </c>
      <c r="I72" s="79">
        <f t="shared" si="5"/>
        <v>0</v>
      </c>
    </row>
    <row r="73" spans="1:9" x14ac:dyDescent="0.25">
      <c r="A73" s="77" t="s">
        <v>120</v>
      </c>
      <c r="B73" s="153">
        <v>1031</v>
      </c>
      <c r="C73" s="153">
        <v>1115</v>
      </c>
      <c r="D73" s="153">
        <v>989</v>
      </c>
      <c r="E73" s="154">
        <f t="shared" si="4"/>
        <v>1045</v>
      </c>
      <c r="F73" s="77">
        <v>0</v>
      </c>
      <c r="G73" s="77">
        <v>0</v>
      </c>
      <c r="H73" s="77">
        <v>0</v>
      </c>
      <c r="I73" s="79">
        <f t="shared" si="5"/>
        <v>0</v>
      </c>
    </row>
    <row r="74" spans="1:9" x14ac:dyDescent="0.25">
      <c r="A74" s="77" t="s">
        <v>121</v>
      </c>
      <c r="B74" s="153">
        <v>301</v>
      </c>
      <c r="C74" s="153">
        <v>266</v>
      </c>
      <c r="D74" s="153">
        <v>282</v>
      </c>
      <c r="E74" s="154">
        <f t="shared" si="4"/>
        <v>283</v>
      </c>
      <c r="F74" s="77">
        <v>0</v>
      </c>
      <c r="G74" s="77">
        <v>0</v>
      </c>
      <c r="H74" s="77">
        <v>0</v>
      </c>
      <c r="I74" s="79">
        <f t="shared" si="5"/>
        <v>0</v>
      </c>
    </row>
    <row r="75" spans="1:9" x14ac:dyDescent="0.25">
      <c r="A75" s="77" t="s">
        <v>122</v>
      </c>
      <c r="B75" s="153">
        <v>51</v>
      </c>
      <c r="C75" s="153">
        <v>37</v>
      </c>
      <c r="D75" s="153">
        <v>51</v>
      </c>
      <c r="E75" s="154">
        <f t="shared" si="4"/>
        <v>46.33</v>
      </c>
      <c r="F75" s="77">
        <v>0</v>
      </c>
      <c r="G75" s="77">
        <v>0</v>
      </c>
      <c r="H75" s="77">
        <v>0</v>
      </c>
      <c r="I75" s="79">
        <f t="shared" si="5"/>
        <v>0</v>
      </c>
    </row>
    <row r="76" spans="1:9" x14ac:dyDescent="0.25">
      <c r="A76" s="77" t="s">
        <v>123</v>
      </c>
      <c r="B76" s="153">
        <v>355</v>
      </c>
      <c r="C76" s="153">
        <v>319</v>
      </c>
      <c r="D76" s="153">
        <v>355</v>
      </c>
      <c r="E76" s="154">
        <f t="shared" si="4"/>
        <v>343</v>
      </c>
      <c r="F76" s="77">
        <v>0</v>
      </c>
      <c r="G76" s="77">
        <v>0</v>
      </c>
      <c r="H76" s="77">
        <v>0</v>
      </c>
      <c r="I76" s="79">
        <f t="shared" si="5"/>
        <v>0</v>
      </c>
    </row>
    <row r="77" spans="1:9" x14ac:dyDescent="0.25">
      <c r="A77" s="77" t="s">
        <v>124</v>
      </c>
      <c r="B77" s="153">
        <v>17</v>
      </c>
      <c r="C77" s="153">
        <v>17</v>
      </c>
      <c r="D77" s="153">
        <v>21</v>
      </c>
      <c r="E77" s="154">
        <f t="shared" si="4"/>
        <v>18.329999999999998</v>
      </c>
      <c r="F77" s="77">
        <v>0</v>
      </c>
      <c r="G77" s="77">
        <v>0</v>
      </c>
      <c r="H77" s="77">
        <v>0</v>
      </c>
      <c r="I77" s="79">
        <f t="shared" si="5"/>
        <v>0</v>
      </c>
    </row>
    <row r="78" spans="1:9" x14ac:dyDescent="0.25">
      <c r="A78" s="77" t="s">
        <v>125</v>
      </c>
      <c r="B78" s="153">
        <v>3</v>
      </c>
      <c r="C78" s="153">
        <v>0</v>
      </c>
      <c r="D78" s="153">
        <v>2</v>
      </c>
      <c r="E78" s="154">
        <f t="shared" si="4"/>
        <v>1.67</v>
      </c>
      <c r="F78" s="77">
        <v>0</v>
      </c>
      <c r="G78" s="77">
        <v>0</v>
      </c>
      <c r="H78" s="77">
        <v>0</v>
      </c>
      <c r="I78" s="79">
        <f t="shared" si="5"/>
        <v>0</v>
      </c>
    </row>
    <row r="79" spans="1:9" x14ac:dyDescent="0.25">
      <c r="A79" s="77" t="s">
        <v>126</v>
      </c>
      <c r="B79" s="153">
        <v>90</v>
      </c>
      <c r="C79" s="153">
        <v>70</v>
      </c>
      <c r="D79" s="153">
        <v>70</v>
      </c>
      <c r="E79" s="154">
        <f t="shared" si="4"/>
        <v>76.67</v>
      </c>
      <c r="F79" s="77">
        <v>0</v>
      </c>
      <c r="G79" s="77">
        <v>0</v>
      </c>
      <c r="H79" s="77">
        <v>0</v>
      </c>
      <c r="I79" s="79">
        <f t="shared" si="5"/>
        <v>0</v>
      </c>
    </row>
    <row r="80" spans="1:9" x14ac:dyDescent="0.25">
      <c r="A80" s="77" t="s">
        <v>127</v>
      </c>
      <c r="B80" s="153">
        <v>41</v>
      </c>
      <c r="C80" s="153">
        <v>33</v>
      </c>
      <c r="D80" s="153">
        <v>34</v>
      </c>
      <c r="E80" s="154">
        <f t="shared" si="4"/>
        <v>36</v>
      </c>
      <c r="F80" s="77">
        <v>0</v>
      </c>
      <c r="G80" s="77">
        <v>0</v>
      </c>
      <c r="H80" s="77">
        <v>0</v>
      </c>
      <c r="I80" s="79">
        <f t="shared" si="5"/>
        <v>0</v>
      </c>
    </row>
    <row r="81" spans="1:9" x14ac:dyDescent="0.25">
      <c r="A81" s="77" t="s">
        <v>128</v>
      </c>
      <c r="B81" s="153">
        <v>578</v>
      </c>
      <c r="C81" s="153">
        <v>601</v>
      </c>
      <c r="D81" s="153">
        <v>585</v>
      </c>
      <c r="E81" s="154">
        <f t="shared" si="4"/>
        <v>588</v>
      </c>
      <c r="F81" s="77">
        <v>0</v>
      </c>
      <c r="G81" s="77">
        <v>0</v>
      </c>
      <c r="H81" s="77">
        <v>0</v>
      </c>
      <c r="I81" s="79">
        <f t="shared" si="5"/>
        <v>0</v>
      </c>
    </row>
    <row r="82" spans="1:9" x14ac:dyDescent="0.25">
      <c r="A82" s="107" t="s">
        <v>129</v>
      </c>
      <c r="B82" s="107">
        <v>487</v>
      </c>
      <c r="C82" s="107">
        <v>618</v>
      </c>
      <c r="D82" s="107">
        <v>622</v>
      </c>
      <c r="E82" s="159">
        <f t="shared" si="4"/>
        <v>575.66999999999996</v>
      </c>
      <c r="F82" s="160">
        <v>1088</v>
      </c>
      <c r="G82" s="160">
        <v>2434</v>
      </c>
      <c r="H82" s="160">
        <v>2100</v>
      </c>
      <c r="I82" s="161">
        <f t="shared" si="5"/>
        <v>1874</v>
      </c>
    </row>
    <row r="83" spans="1:9" x14ac:dyDescent="0.25">
      <c r="A83" s="77" t="s">
        <v>130</v>
      </c>
      <c r="B83" s="153">
        <v>7</v>
      </c>
      <c r="C83" s="153">
        <v>5</v>
      </c>
      <c r="D83" s="153">
        <v>3</v>
      </c>
      <c r="E83" s="154">
        <f t="shared" si="4"/>
        <v>5</v>
      </c>
      <c r="F83" s="77">
        <v>0</v>
      </c>
      <c r="G83" s="77">
        <v>0</v>
      </c>
      <c r="H83" s="77">
        <v>0</v>
      </c>
      <c r="I83" s="79">
        <f t="shared" si="5"/>
        <v>0</v>
      </c>
    </row>
    <row r="84" spans="1:9" x14ac:dyDescent="0.25">
      <c r="A84" s="77" t="s">
        <v>131</v>
      </c>
      <c r="B84" s="153">
        <v>111</v>
      </c>
      <c r="C84" s="153">
        <v>81</v>
      </c>
      <c r="D84" s="153">
        <v>88</v>
      </c>
      <c r="E84" s="154">
        <f t="shared" si="4"/>
        <v>93.33</v>
      </c>
      <c r="F84" s="77">
        <v>0</v>
      </c>
      <c r="G84" s="77">
        <v>0</v>
      </c>
      <c r="H84" s="77">
        <v>0</v>
      </c>
      <c r="I84" s="79">
        <f t="shared" si="5"/>
        <v>0</v>
      </c>
    </row>
    <row r="85" spans="1:9" x14ac:dyDescent="0.25">
      <c r="A85" s="77" t="s">
        <v>132</v>
      </c>
      <c r="B85" s="153">
        <v>6</v>
      </c>
      <c r="C85" s="153">
        <v>0</v>
      </c>
      <c r="D85" s="153">
        <v>0</v>
      </c>
      <c r="E85" s="154">
        <f t="shared" si="4"/>
        <v>2</v>
      </c>
      <c r="F85" s="77">
        <v>0</v>
      </c>
      <c r="G85" s="77">
        <v>0</v>
      </c>
      <c r="H85" s="77">
        <v>0</v>
      </c>
      <c r="I85" s="79">
        <f t="shared" si="5"/>
        <v>0</v>
      </c>
    </row>
    <row r="86" spans="1:9" x14ac:dyDescent="0.25">
      <c r="A86" s="77" t="s">
        <v>133</v>
      </c>
      <c r="B86" s="153">
        <v>16</v>
      </c>
      <c r="C86" s="153">
        <v>14</v>
      </c>
      <c r="D86" s="153">
        <v>14</v>
      </c>
      <c r="E86" s="154">
        <f t="shared" si="4"/>
        <v>14.67</v>
      </c>
      <c r="F86" s="77">
        <v>0</v>
      </c>
      <c r="G86" s="77">
        <v>0</v>
      </c>
      <c r="H86" s="77">
        <v>0</v>
      </c>
      <c r="I86" s="79">
        <f t="shared" si="5"/>
        <v>0</v>
      </c>
    </row>
    <row r="87" spans="1:9" x14ac:dyDescent="0.25">
      <c r="A87" s="77" t="s">
        <v>134</v>
      </c>
      <c r="B87" s="153">
        <v>7</v>
      </c>
      <c r="C87" s="153">
        <v>8</v>
      </c>
      <c r="D87" s="153">
        <v>7</v>
      </c>
      <c r="E87" s="154">
        <f t="shared" si="4"/>
        <v>7.33</v>
      </c>
      <c r="F87" s="77">
        <v>0</v>
      </c>
      <c r="G87" s="77">
        <v>0</v>
      </c>
      <c r="H87" s="77">
        <v>0</v>
      </c>
      <c r="I87" s="79">
        <f t="shared" si="5"/>
        <v>0</v>
      </c>
    </row>
    <row r="88" spans="1:9" x14ac:dyDescent="0.25">
      <c r="A88" s="77" t="s">
        <v>135</v>
      </c>
      <c r="B88" s="153">
        <v>1</v>
      </c>
      <c r="C88" s="153">
        <v>3</v>
      </c>
      <c r="D88" s="153">
        <v>2</v>
      </c>
      <c r="E88" s="154">
        <f t="shared" si="4"/>
        <v>2</v>
      </c>
      <c r="F88" s="77">
        <v>0</v>
      </c>
      <c r="G88" s="77">
        <v>0</v>
      </c>
      <c r="H88" s="77">
        <v>0</v>
      </c>
      <c r="I88" s="79">
        <f t="shared" si="5"/>
        <v>0</v>
      </c>
    </row>
    <row r="89" spans="1:9" x14ac:dyDescent="0.25">
      <c r="A89" s="77" t="s">
        <v>136</v>
      </c>
      <c r="B89" s="153">
        <v>16</v>
      </c>
      <c r="C89" s="153">
        <v>13</v>
      </c>
      <c r="D89" s="153">
        <v>11</v>
      </c>
      <c r="E89" s="154">
        <f t="shared" si="4"/>
        <v>13.33</v>
      </c>
      <c r="F89" s="77">
        <v>0</v>
      </c>
      <c r="G89" s="77">
        <v>0</v>
      </c>
      <c r="H89" s="77">
        <v>0</v>
      </c>
      <c r="I89" s="79">
        <f t="shared" si="5"/>
        <v>0</v>
      </c>
    </row>
    <row r="90" spans="1:9" x14ac:dyDescent="0.25">
      <c r="A90" s="163" t="s">
        <v>137</v>
      </c>
      <c r="B90" s="163">
        <f>SUM(B3:B89)</f>
        <v>55863</v>
      </c>
      <c r="C90" s="163">
        <f>SUM(C3:C89)</f>
        <v>54843</v>
      </c>
      <c r="D90" s="163">
        <f>SUM(D3:D89)</f>
        <v>53819</v>
      </c>
      <c r="E90" s="164">
        <f>SUM(E3:E89)</f>
        <v>54841.63</v>
      </c>
      <c r="F90" s="163">
        <f t="shared" ref="F90:I90" si="6">SUM(F3:F89)</f>
        <v>161569</v>
      </c>
      <c r="G90" s="163">
        <f t="shared" si="6"/>
        <v>201353</v>
      </c>
      <c r="H90" s="163">
        <f t="shared" si="6"/>
        <v>293375</v>
      </c>
      <c r="I90" s="164">
        <f t="shared" si="6"/>
        <v>218765.7</v>
      </c>
    </row>
  </sheetData>
  <mergeCells count="3">
    <mergeCell ref="A1:A2"/>
    <mergeCell ref="B1:E1"/>
    <mergeCell ref="F1:I1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16"/>
  <sheetViews>
    <sheetView zoomScale="80" workbookViewId="0">
      <selection sqref="A1:Q17"/>
    </sheetView>
  </sheetViews>
  <sheetFormatPr defaultRowHeight="15.75" x14ac:dyDescent="0.25"/>
  <cols>
    <col min="1" max="1" width="31.28515625" style="165" customWidth="1"/>
    <col min="2" max="2" width="18" style="165" customWidth="1"/>
    <col min="3" max="6" width="15" style="165" customWidth="1"/>
    <col min="7" max="11" width="15.7109375" style="165" customWidth="1"/>
    <col min="12" max="12" width="14.7109375" style="166" customWidth="1"/>
    <col min="13" max="13" width="15.7109375" style="165" customWidth="1"/>
    <col min="14" max="14" width="10.7109375" style="165" customWidth="1"/>
    <col min="15" max="15" width="14.85546875" style="165" customWidth="1"/>
    <col min="16" max="16" width="12.85546875" style="165" customWidth="1"/>
    <col min="17" max="17" width="14.7109375" style="165" customWidth="1"/>
    <col min="18" max="16384" width="9.140625" style="165"/>
  </cols>
  <sheetData>
    <row r="1" spans="1:17" x14ac:dyDescent="0.25">
      <c r="A1" s="420" t="s">
        <v>188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142"/>
      <c r="O1" s="142"/>
    </row>
    <row r="3" spans="1:17" s="1" customFormat="1" x14ac:dyDescent="0.25">
      <c r="A3" s="434" t="s">
        <v>2</v>
      </c>
      <c r="B3" s="436" t="s">
        <v>189</v>
      </c>
      <c r="C3" s="436"/>
      <c r="D3" s="436"/>
      <c r="E3" s="436"/>
      <c r="F3" s="436"/>
      <c r="G3" s="437" t="s">
        <v>190</v>
      </c>
      <c r="H3" s="437"/>
      <c r="I3" s="437"/>
      <c r="J3" s="437"/>
      <c r="K3" s="437"/>
      <c r="L3" s="438" t="s">
        <v>191</v>
      </c>
      <c r="M3" s="439" t="s">
        <v>192</v>
      </c>
      <c r="N3" s="432" t="s">
        <v>193</v>
      </c>
      <c r="O3" s="433"/>
    </row>
    <row r="4" spans="1:17" s="167" customFormat="1" ht="346.5" x14ac:dyDescent="0.25">
      <c r="A4" s="435"/>
      <c r="B4" s="168" t="s">
        <v>194</v>
      </c>
      <c r="C4" s="168" t="s">
        <v>195</v>
      </c>
      <c r="D4" s="168" t="s">
        <v>22</v>
      </c>
      <c r="E4" s="168" t="s">
        <v>23</v>
      </c>
      <c r="F4" s="169" t="s">
        <v>196</v>
      </c>
      <c r="G4" s="170" t="s">
        <v>197</v>
      </c>
      <c r="H4" s="170" t="s">
        <v>198</v>
      </c>
      <c r="I4" s="170" t="s">
        <v>199</v>
      </c>
      <c r="J4" s="170" t="s">
        <v>200</v>
      </c>
      <c r="K4" s="171" t="s">
        <v>201</v>
      </c>
      <c r="L4" s="438"/>
      <c r="M4" s="440"/>
      <c r="N4" s="172" t="s">
        <v>202</v>
      </c>
      <c r="O4" s="172" t="s">
        <v>203</v>
      </c>
      <c r="P4" s="172" t="s">
        <v>204</v>
      </c>
      <c r="Q4" s="172" t="s">
        <v>205</v>
      </c>
    </row>
    <row r="5" spans="1:17" x14ac:dyDescent="0.25">
      <c r="A5" s="173" t="s">
        <v>63</v>
      </c>
      <c r="B5" s="174">
        <f t="shared" ref="B5:B13" si="0">12779</f>
        <v>12779</v>
      </c>
      <c r="C5" s="175">
        <v>4.0999999999999996</v>
      </c>
      <c r="D5" s="175">
        <v>2.5</v>
      </c>
      <c r="E5" s="175">
        <v>1.302</v>
      </c>
      <c r="F5" s="174">
        <f t="shared" ref="F5:F13" si="1">B5*C5*D5*12*E5</f>
        <v>2046505.73</v>
      </c>
      <c r="G5" s="176">
        <v>100</v>
      </c>
      <c r="H5" s="176">
        <v>200</v>
      </c>
      <c r="I5" s="176">
        <v>200</v>
      </c>
      <c r="J5" s="177">
        <v>1980</v>
      </c>
      <c r="K5" s="178">
        <f>(G5+H5+I5)/60/J5</f>
        <v>4.1999999999999997E-3</v>
      </c>
      <c r="L5" s="179">
        <v>4</v>
      </c>
      <c r="M5" s="180">
        <f t="shared" ref="M5:M13" si="2">F5*K5*L5</f>
        <v>34381.300000000003</v>
      </c>
      <c r="N5" s="181">
        <v>1.04</v>
      </c>
      <c r="O5" s="180">
        <f t="shared" ref="O5:O13" si="3">M5*N5</f>
        <v>35756.6</v>
      </c>
      <c r="P5" s="173">
        <v>1.0760000000000001</v>
      </c>
      <c r="Q5" s="180">
        <f t="shared" ref="Q5:Q13" si="4">M5*P5</f>
        <v>36994.300000000003</v>
      </c>
    </row>
    <row r="6" spans="1:17" x14ac:dyDescent="0.25">
      <c r="A6" s="173" t="s">
        <v>70</v>
      </c>
      <c r="B6" s="174">
        <f t="shared" si="0"/>
        <v>12779</v>
      </c>
      <c r="C6" s="173">
        <v>4.0999999999999996</v>
      </c>
      <c r="D6" s="173">
        <v>2.5</v>
      </c>
      <c r="E6" s="173">
        <v>1.302</v>
      </c>
      <c r="F6" s="174">
        <f t="shared" si="1"/>
        <v>2046505.73</v>
      </c>
      <c r="G6" s="182">
        <v>100</v>
      </c>
      <c r="H6" s="182">
        <v>200</v>
      </c>
      <c r="I6" s="182">
        <v>200</v>
      </c>
      <c r="J6" s="180">
        <v>1980</v>
      </c>
      <c r="K6" s="183">
        <v>4.1999999999999997E-3</v>
      </c>
      <c r="L6" s="184">
        <v>5</v>
      </c>
      <c r="M6" s="180">
        <f t="shared" si="2"/>
        <v>42976.6</v>
      </c>
      <c r="N6" s="181">
        <v>1.04</v>
      </c>
      <c r="O6" s="180">
        <f t="shared" si="3"/>
        <v>44695.7</v>
      </c>
      <c r="P6" s="173">
        <v>1.0760000000000001</v>
      </c>
      <c r="Q6" s="180">
        <f t="shared" si="4"/>
        <v>46242.8</v>
      </c>
    </row>
    <row r="7" spans="1:17" x14ac:dyDescent="0.25">
      <c r="A7" s="173" t="s">
        <v>76</v>
      </c>
      <c r="B7" s="174">
        <f t="shared" si="0"/>
        <v>12779</v>
      </c>
      <c r="C7" s="173">
        <v>4.0999999999999996</v>
      </c>
      <c r="D7" s="173">
        <v>2.2000000000000002</v>
      </c>
      <c r="E7" s="173">
        <v>1.302</v>
      </c>
      <c r="F7" s="174">
        <f>B7*C7*D7*12</f>
        <v>1383198.96</v>
      </c>
      <c r="G7" s="182">
        <v>100</v>
      </c>
      <c r="H7" s="182">
        <v>200</v>
      </c>
      <c r="I7" s="182">
        <v>200</v>
      </c>
      <c r="J7" s="180">
        <v>1980</v>
      </c>
      <c r="K7" s="183">
        <v>4.1999999999999997E-3</v>
      </c>
      <c r="L7" s="184">
        <v>9</v>
      </c>
      <c r="M7" s="180">
        <f t="shared" si="2"/>
        <v>52284.9</v>
      </c>
      <c r="N7" s="181">
        <v>1.04</v>
      </c>
      <c r="O7" s="180">
        <f t="shared" si="3"/>
        <v>54376.3</v>
      </c>
      <c r="P7" s="173">
        <v>1.0760000000000001</v>
      </c>
      <c r="Q7" s="180">
        <f t="shared" si="4"/>
        <v>56258.6</v>
      </c>
    </row>
    <row r="8" spans="1:17" x14ac:dyDescent="0.25">
      <c r="A8" s="173" t="s">
        <v>86</v>
      </c>
      <c r="B8" s="174">
        <f t="shared" si="0"/>
        <v>12779</v>
      </c>
      <c r="C8" s="173">
        <v>4.0999999999999996</v>
      </c>
      <c r="D8" s="173">
        <v>2.2000000000000002</v>
      </c>
      <c r="E8" s="173">
        <v>1.302</v>
      </c>
      <c r="F8" s="174">
        <f t="shared" si="1"/>
        <v>1800925.05</v>
      </c>
      <c r="G8" s="182">
        <v>100</v>
      </c>
      <c r="H8" s="182">
        <v>200</v>
      </c>
      <c r="I8" s="182">
        <v>200</v>
      </c>
      <c r="J8" s="180">
        <v>1980</v>
      </c>
      <c r="K8" s="183">
        <v>4.1999999999999997E-3</v>
      </c>
      <c r="L8" s="184">
        <v>4</v>
      </c>
      <c r="M8" s="180">
        <f t="shared" si="2"/>
        <v>30255.5</v>
      </c>
      <c r="N8" s="181">
        <v>1.04</v>
      </c>
      <c r="O8" s="180">
        <f t="shared" si="3"/>
        <v>31465.7</v>
      </c>
      <c r="P8" s="173">
        <v>1.0760000000000001</v>
      </c>
      <c r="Q8" s="180">
        <f t="shared" si="4"/>
        <v>32554.9</v>
      </c>
    </row>
    <row r="9" spans="1:17" x14ac:dyDescent="0.25">
      <c r="A9" s="173" t="s">
        <v>91</v>
      </c>
      <c r="B9" s="174">
        <f t="shared" si="0"/>
        <v>12779</v>
      </c>
      <c r="C9" s="173">
        <v>4.0999999999999996</v>
      </c>
      <c r="D9" s="173">
        <v>2.2000000000000002</v>
      </c>
      <c r="E9" s="173">
        <v>1.302</v>
      </c>
      <c r="F9" s="174">
        <f t="shared" si="1"/>
        <v>1800925.05</v>
      </c>
      <c r="G9" s="182">
        <v>100</v>
      </c>
      <c r="H9" s="182">
        <v>200</v>
      </c>
      <c r="I9" s="182">
        <v>200</v>
      </c>
      <c r="J9" s="180">
        <v>1980</v>
      </c>
      <c r="K9" s="183">
        <v>4.1999999999999997E-3</v>
      </c>
      <c r="L9" s="184">
        <v>7</v>
      </c>
      <c r="M9" s="180">
        <f t="shared" si="2"/>
        <v>52947.199999999997</v>
      </c>
      <c r="N9" s="181">
        <v>1.04</v>
      </c>
      <c r="O9" s="180">
        <f t="shared" si="3"/>
        <v>55065.1</v>
      </c>
      <c r="P9" s="173">
        <v>1.0760000000000001</v>
      </c>
      <c r="Q9" s="180">
        <f t="shared" si="4"/>
        <v>56971.199999999997</v>
      </c>
    </row>
    <row r="10" spans="1:17" x14ac:dyDescent="0.25">
      <c r="A10" s="173" t="s">
        <v>99</v>
      </c>
      <c r="B10" s="174">
        <f t="shared" si="0"/>
        <v>12779</v>
      </c>
      <c r="C10" s="173">
        <v>4.0999999999999996</v>
      </c>
      <c r="D10" s="173">
        <v>2.2000000000000002</v>
      </c>
      <c r="E10" s="173">
        <v>1.302</v>
      </c>
      <c r="F10" s="174">
        <f t="shared" si="1"/>
        <v>1800925.05</v>
      </c>
      <c r="G10" s="182">
        <v>100</v>
      </c>
      <c r="H10" s="182">
        <v>200</v>
      </c>
      <c r="I10" s="182">
        <v>200</v>
      </c>
      <c r="J10" s="180">
        <v>1980</v>
      </c>
      <c r="K10" s="183">
        <v>4.1999999999999997E-3</v>
      </c>
      <c r="L10" s="184">
        <v>8</v>
      </c>
      <c r="M10" s="180">
        <f t="shared" si="2"/>
        <v>60511.1</v>
      </c>
      <c r="N10" s="181">
        <v>1.04</v>
      </c>
      <c r="O10" s="180">
        <f t="shared" si="3"/>
        <v>62931.5</v>
      </c>
      <c r="P10" s="173">
        <v>1.0760000000000001</v>
      </c>
      <c r="Q10" s="180">
        <f t="shared" si="4"/>
        <v>65109.9</v>
      </c>
    </row>
    <row r="11" spans="1:17" x14ac:dyDescent="0.25">
      <c r="A11" s="173" t="s">
        <v>108</v>
      </c>
      <c r="B11" s="174">
        <f t="shared" si="0"/>
        <v>12779</v>
      </c>
      <c r="C11" s="173">
        <v>4.0999999999999996</v>
      </c>
      <c r="D11" s="173">
        <v>2.2000000000000002</v>
      </c>
      <c r="E11" s="173">
        <v>1.302</v>
      </c>
      <c r="F11" s="174">
        <f t="shared" si="1"/>
        <v>1800925.05</v>
      </c>
      <c r="G11" s="182">
        <v>100</v>
      </c>
      <c r="H11" s="182">
        <v>200</v>
      </c>
      <c r="I11" s="182">
        <v>200</v>
      </c>
      <c r="J11" s="180">
        <v>1980</v>
      </c>
      <c r="K11" s="183">
        <v>4.1999999999999997E-3</v>
      </c>
      <c r="L11" s="184">
        <v>7</v>
      </c>
      <c r="M11" s="180">
        <f t="shared" si="2"/>
        <v>52947.199999999997</v>
      </c>
      <c r="N11" s="181">
        <v>1.04</v>
      </c>
      <c r="O11" s="180">
        <f t="shared" si="3"/>
        <v>55065.1</v>
      </c>
      <c r="P11" s="173">
        <v>1.0760000000000001</v>
      </c>
      <c r="Q11" s="180">
        <f t="shared" si="4"/>
        <v>56971.199999999997</v>
      </c>
    </row>
    <row r="12" spans="1:17" x14ac:dyDescent="0.25">
      <c r="A12" s="173" t="s">
        <v>116</v>
      </c>
      <c r="B12" s="174">
        <f t="shared" si="0"/>
        <v>12779</v>
      </c>
      <c r="C12" s="173">
        <v>4.0999999999999996</v>
      </c>
      <c r="D12" s="173">
        <v>2.2000000000000002</v>
      </c>
      <c r="E12" s="173">
        <v>1.302</v>
      </c>
      <c r="F12" s="174">
        <f t="shared" si="1"/>
        <v>1800925.05</v>
      </c>
      <c r="G12" s="182">
        <v>100</v>
      </c>
      <c r="H12" s="182">
        <v>200</v>
      </c>
      <c r="I12" s="182">
        <v>200</v>
      </c>
      <c r="J12" s="180">
        <v>1980</v>
      </c>
      <c r="K12" s="183">
        <v>4.1999999999999997E-3</v>
      </c>
      <c r="L12" s="184">
        <v>11</v>
      </c>
      <c r="M12" s="180">
        <f t="shared" si="2"/>
        <v>83202.7</v>
      </c>
      <c r="N12" s="181">
        <v>1.04</v>
      </c>
      <c r="O12" s="180">
        <f t="shared" si="3"/>
        <v>86530.8</v>
      </c>
      <c r="P12" s="173">
        <v>1.0760000000000001</v>
      </c>
      <c r="Q12" s="180">
        <f t="shared" si="4"/>
        <v>89526.1</v>
      </c>
    </row>
    <row r="13" spans="1:17" x14ac:dyDescent="0.25">
      <c r="A13" s="173" t="s">
        <v>129</v>
      </c>
      <c r="B13" s="174">
        <f t="shared" si="0"/>
        <v>12779</v>
      </c>
      <c r="C13" s="173">
        <v>4.0999999999999996</v>
      </c>
      <c r="D13" s="173">
        <v>2.2000000000000002</v>
      </c>
      <c r="E13" s="173">
        <v>1.302</v>
      </c>
      <c r="F13" s="174">
        <f t="shared" si="1"/>
        <v>1800925.05</v>
      </c>
      <c r="G13" s="182">
        <v>100</v>
      </c>
      <c r="H13" s="182">
        <v>200</v>
      </c>
      <c r="I13" s="182">
        <v>200</v>
      </c>
      <c r="J13" s="180">
        <v>1980</v>
      </c>
      <c r="K13" s="183">
        <v>4.1999999999999997E-3</v>
      </c>
      <c r="L13" s="184">
        <v>7</v>
      </c>
      <c r="M13" s="180">
        <f t="shared" si="2"/>
        <v>52947.199999999997</v>
      </c>
      <c r="N13" s="181">
        <v>1.04</v>
      </c>
      <c r="O13" s="180">
        <f t="shared" si="3"/>
        <v>55065.1</v>
      </c>
      <c r="P13" s="173">
        <v>1.0760000000000001</v>
      </c>
      <c r="Q13" s="180">
        <f t="shared" si="4"/>
        <v>56971.199999999997</v>
      </c>
    </row>
    <row r="14" spans="1:17" x14ac:dyDescent="0.25">
      <c r="A14" s="138" t="s">
        <v>206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85"/>
      <c r="M14" s="186">
        <f>SUM(M5:M13)</f>
        <v>462453.7</v>
      </c>
      <c r="N14" s="186"/>
      <c r="O14" s="186">
        <f>SUM(O5:O13)</f>
        <v>480951.9</v>
      </c>
      <c r="P14" s="173"/>
      <c r="Q14" s="186">
        <f>SUM(Q5:Q13)</f>
        <v>497600.2</v>
      </c>
    </row>
    <row r="15" spans="1:17" x14ac:dyDescent="0.25">
      <c r="Q15" s="187"/>
    </row>
    <row r="16" spans="1:17" x14ac:dyDescent="0.25">
      <c r="M16" s="188">
        <f>M14/1000</f>
        <v>462.5</v>
      </c>
      <c r="N16" s="188"/>
      <c r="O16" s="188">
        <f>O14/1000</f>
        <v>481</v>
      </c>
      <c r="Q16" s="188">
        <f>Q14/1000</f>
        <v>497.6</v>
      </c>
    </row>
  </sheetData>
  <mergeCells count="7">
    <mergeCell ref="N3:O3"/>
    <mergeCell ref="A1:M1"/>
    <mergeCell ref="A3:A4"/>
    <mergeCell ref="B3:F3"/>
    <mergeCell ref="G3:K3"/>
    <mergeCell ref="L3:L4"/>
    <mergeCell ref="M3:M4"/>
  </mergeCells>
  <pageMargins left="0" right="0" top="0" bottom="0" header="0.31496062992125984" footer="0.31496062992125984"/>
  <pageSetup paperSize="9" scale="5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58"/>
  <sheetViews>
    <sheetView zoomScale="85" workbookViewId="0">
      <selection sqref="A1:H259"/>
    </sheetView>
  </sheetViews>
  <sheetFormatPr defaultRowHeight="15.75" x14ac:dyDescent="0.25"/>
  <cols>
    <col min="1" max="1" width="38.85546875" style="165" customWidth="1"/>
    <col min="2" max="2" width="14.5703125" customWidth="1"/>
    <col min="3" max="3" width="15.140625" customWidth="1"/>
    <col min="4" max="4" width="21.140625" customWidth="1"/>
    <col min="5" max="5" width="17.85546875" customWidth="1"/>
    <col min="6" max="6" width="21.140625" customWidth="1"/>
    <col min="7" max="7" width="15.42578125" customWidth="1"/>
  </cols>
  <sheetData>
    <row r="1" spans="1:7" ht="183.75" x14ac:dyDescent="0.25">
      <c r="A1" s="189" t="s">
        <v>207</v>
      </c>
      <c r="B1" s="190" t="s">
        <v>208</v>
      </c>
      <c r="C1" s="190" t="s">
        <v>209</v>
      </c>
      <c r="D1" s="190" t="s">
        <v>210</v>
      </c>
      <c r="E1" s="191" t="s">
        <v>211</v>
      </c>
      <c r="F1" s="190" t="s">
        <v>212</v>
      </c>
      <c r="G1" s="190" t="s">
        <v>213</v>
      </c>
    </row>
    <row r="2" spans="1:7" x14ac:dyDescent="0.25">
      <c r="A2" s="173" t="s">
        <v>214</v>
      </c>
      <c r="B2" s="192">
        <v>454</v>
      </c>
      <c r="C2" s="192">
        <v>64520</v>
      </c>
      <c r="D2" s="193">
        <f>B2/C2</f>
        <v>7.0000000000000001E-3</v>
      </c>
      <c r="E2" s="194">
        <v>1781782</v>
      </c>
      <c r="F2" s="195">
        <f>B2/E2</f>
        <v>2.5480108999999999E-4</v>
      </c>
      <c r="G2" s="196">
        <f>(D2+1)/(F2+1)</f>
        <v>1.0069999999999999</v>
      </c>
    </row>
    <row r="3" spans="1:7" x14ac:dyDescent="0.25">
      <c r="A3" s="197" t="s">
        <v>215</v>
      </c>
      <c r="B3" s="198">
        <v>454</v>
      </c>
      <c r="C3" s="198"/>
      <c r="D3" s="193"/>
      <c r="E3" s="194"/>
      <c r="F3" s="195"/>
      <c r="G3" s="196"/>
    </row>
    <row r="4" spans="1:7" x14ac:dyDescent="0.25">
      <c r="A4" s="173" t="s">
        <v>51</v>
      </c>
      <c r="B4" s="192"/>
      <c r="C4" s="192">
        <v>44797</v>
      </c>
      <c r="D4" s="193">
        <f t="shared" ref="D4:D61" si="0">B4/C4</f>
        <v>0</v>
      </c>
      <c r="E4" s="194">
        <v>1781782</v>
      </c>
      <c r="F4" s="195">
        <f t="shared" ref="F4:F61" si="1">B4/E4</f>
        <v>0</v>
      </c>
      <c r="G4" s="196"/>
    </row>
    <row r="5" spans="1:7" x14ac:dyDescent="0.25">
      <c r="A5" s="173" t="s">
        <v>216</v>
      </c>
      <c r="B5" s="192"/>
      <c r="C5" s="192">
        <v>59732</v>
      </c>
      <c r="D5" s="193">
        <f t="shared" si="0"/>
        <v>0</v>
      </c>
      <c r="E5" s="194">
        <v>1781782</v>
      </c>
      <c r="F5" s="195">
        <f t="shared" si="1"/>
        <v>0</v>
      </c>
      <c r="G5" s="196"/>
    </row>
    <row r="6" spans="1:7" x14ac:dyDescent="0.25">
      <c r="A6" s="197" t="s">
        <v>217</v>
      </c>
      <c r="B6" s="192"/>
      <c r="C6" s="192"/>
      <c r="D6" s="193"/>
      <c r="E6" s="194"/>
      <c r="F6" s="195"/>
      <c r="G6" s="196"/>
    </row>
    <row r="7" spans="1:7" x14ac:dyDescent="0.25">
      <c r="A7" s="173" t="s">
        <v>218</v>
      </c>
      <c r="B7" s="192"/>
      <c r="C7" s="192">
        <v>127950</v>
      </c>
      <c r="D7" s="193">
        <f t="shared" si="0"/>
        <v>0</v>
      </c>
      <c r="E7" s="194">
        <v>1781782</v>
      </c>
      <c r="F7" s="195">
        <f t="shared" si="1"/>
        <v>0</v>
      </c>
      <c r="G7" s="196"/>
    </row>
    <row r="8" spans="1:7" x14ac:dyDescent="0.25">
      <c r="A8" s="173" t="s">
        <v>219</v>
      </c>
      <c r="B8" s="192"/>
      <c r="C8" s="192">
        <v>293130</v>
      </c>
      <c r="D8" s="193">
        <f t="shared" si="0"/>
        <v>0</v>
      </c>
      <c r="E8" s="194">
        <v>1781782</v>
      </c>
      <c r="F8" s="195">
        <f t="shared" si="1"/>
        <v>0</v>
      </c>
      <c r="G8" s="196"/>
    </row>
    <row r="9" spans="1:7" x14ac:dyDescent="0.25">
      <c r="A9" s="173" t="s">
        <v>220</v>
      </c>
      <c r="B9" s="192"/>
      <c r="C9" s="192">
        <v>63683</v>
      </c>
      <c r="D9" s="193">
        <f t="shared" si="0"/>
        <v>0</v>
      </c>
      <c r="E9" s="194">
        <v>1781782</v>
      </c>
      <c r="F9" s="195">
        <f t="shared" si="1"/>
        <v>0</v>
      </c>
      <c r="G9" s="196"/>
    </row>
    <row r="10" spans="1:7" x14ac:dyDescent="0.25">
      <c r="A10" s="173" t="s">
        <v>221</v>
      </c>
      <c r="B10" s="192"/>
      <c r="C10" s="192">
        <v>16587</v>
      </c>
      <c r="D10" s="193">
        <f t="shared" si="0"/>
        <v>0</v>
      </c>
      <c r="E10" s="194">
        <v>1781782</v>
      </c>
      <c r="F10" s="195">
        <f t="shared" si="1"/>
        <v>0</v>
      </c>
      <c r="G10" s="196"/>
    </row>
    <row r="11" spans="1:7" x14ac:dyDescent="0.25">
      <c r="A11" s="173" t="s">
        <v>222</v>
      </c>
      <c r="B11" s="192"/>
      <c r="C11" s="192">
        <v>41213</v>
      </c>
      <c r="D11" s="193">
        <f t="shared" si="0"/>
        <v>0</v>
      </c>
      <c r="E11" s="194">
        <v>1781782</v>
      </c>
      <c r="F11" s="195">
        <f t="shared" si="1"/>
        <v>0</v>
      </c>
      <c r="G11" s="196"/>
    </row>
    <row r="12" spans="1:7" x14ac:dyDescent="0.25">
      <c r="A12" s="173" t="s">
        <v>223</v>
      </c>
      <c r="B12" s="192"/>
      <c r="C12" s="192">
        <v>45961</v>
      </c>
      <c r="D12" s="193">
        <f t="shared" si="0"/>
        <v>0</v>
      </c>
      <c r="E12" s="194">
        <v>1781782</v>
      </c>
      <c r="F12" s="195">
        <f t="shared" si="1"/>
        <v>0</v>
      </c>
      <c r="G12" s="196"/>
    </row>
    <row r="13" spans="1:7" x14ac:dyDescent="0.25">
      <c r="A13" s="173" t="s">
        <v>224</v>
      </c>
      <c r="B13" s="192"/>
      <c r="C13" s="192">
        <v>432875</v>
      </c>
      <c r="D13" s="193">
        <f t="shared" si="0"/>
        <v>0</v>
      </c>
      <c r="E13" s="194">
        <v>1781782</v>
      </c>
      <c r="F13" s="195">
        <f t="shared" si="1"/>
        <v>0</v>
      </c>
      <c r="G13" s="196"/>
    </row>
    <row r="14" spans="1:7" x14ac:dyDescent="0.25">
      <c r="A14" s="173" t="s">
        <v>225</v>
      </c>
      <c r="B14" s="192"/>
      <c r="C14" s="192">
        <v>41251</v>
      </c>
      <c r="D14" s="193">
        <f t="shared" si="0"/>
        <v>0</v>
      </c>
      <c r="E14" s="194">
        <v>1781782</v>
      </c>
      <c r="F14" s="195">
        <f t="shared" si="1"/>
        <v>0</v>
      </c>
      <c r="G14" s="196"/>
    </row>
    <row r="15" spans="1:7" x14ac:dyDescent="0.25">
      <c r="A15" s="173" t="s">
        <v>226</v>
      </c>
      <c r="B15" s="192"/>
      <c r="C15" s="192">
        <v>113663</v>
      </c>
      <c r="D15" s="193">
        <f t="shared" si="0"/>
        <v>0</v>
      </c>
      <c r="E15" s="194">
        <v>1781782</v>
      </c>
      <c r="F15" s="195">
        <f t="shared" si="1"/>
        <v>0</v>
      </c>
      <c r="G15" s="196"/>
    </row>
    <row r="16" spans="1:7" x14ac:dyDescent="0.25">
      <c r="A16" s="173" t="s">
        <v>227</v>
      </c>
      <c r="B16" s="192"/>
      <c r="C16" s="192">
        <v>39568</v>
      </c>
      <c r="D16" s="193">
        <f t="shared" si="0"/>
        <v>0</v>
      </c>
      <c r="E16" s="194">
        <v>1781782</v>
      </c>
      <c r="F16" s="195">
        <f t="shared" si="1"/>
        <v>0</v>
      </c>
      <c r="G16" s="196"/>
    </row>
    <row r="17" spans="1:7" x14ac:dyDescent="0.25">
      <c r="A17" s="199" t="s">
        <v>63</v>
      </c>
      <c r="B17" s="200">
        <f>B18+B19+B24+B25+B26+B27+B31</f>
        <v>824</v>
      </c>
      <c r="C17" s="200">
        <f>C18+C19+C24+C25+C26+C27+C31</f>
        <v>28286</v>
      </c>
      <c r="D17" s="201">
        <f t="shared" si="0"/>
        <v>2.9100000000000001E-2</v>
      </c>
      <c r="E17" s="200">
        <v>1781782</v>
      </c>
      <c r="F17" s="202">
        <f t="shared" si="1"/>
        <v>4.6245836999999999E-4</v>
      </c>
      <c r="G17" s="203">
        <f t="shared" ref="G17:G78" si="2">(D17+1)/(F17+1)</f>
        <v>1.0289999999999999</v>
      </c>
    </row>
    <row r="18" spans="1:7" x14ac:dyDescent="0.25">
      <c r="A18" s="173" t="s">
        <v>228</v>
      </c>
      <c r="B18" s="194"/>
      <c r="C18" s="194">
        <v>19861</v>
      </c>
      <c r="D18" s="201">
        <f t="shared" ref="D18:D31" si="3">B18/C18</f>
        <v>0</v>
      </c>
      <c r="E18" s="200">
        <v>1781782</v>
      </c>
      <c r="F18" s="202">
        <f t="shared" ref="F18:F31" si="4">B18/E18</f>
        <v>0</v>
      </c>
      <c r="G18" s="203">
        <f t="shared" si="2"/>
        <v>1</v>
      </c>
    </row>
    <row r="19" spans="1:7" x14ac:dyDescent="0.25">
      <c r="A19" s="204" t="s">
        <v>229</v>
      </c>
      <c r="B19" s="192">
        <f>SUM(B20:B23)</f>
        <v>474</v>
      </c>
      <c r="C19" s="192">
        <f>SUM(C20:C23)</f>
        <v>1463</v>
      </c>
      <c r="D19" s="201">
        <f t="shared" si="3"/>
        <v>0.32400000000000001</v>
      </c>
      <c r="E19" s="200">
        <v>1781782</v>
      </c>
      <c r="F19" s="202">
        <f t="shared" si="4"/>
        <v>2.6602580999999999E-4</v>
      </c>
      <c r="G19" s="203">
        <f t="shared" si="2"/>
        <v>1.3240000000000001</v>
      </c>
    </row>
    <row r="20" spans="1:7" x14ac:dyDescent="0.25">
      <c r="A20" s="205" t="s">
        <v>230</v>
      </c>
      <c r="B20" s="198"/>
      <c r="C20" s="198">
        <v>989</v>
      </c>
      <c r="D20" s="193"/>
      <c r="E20" s="194"/>
      <c r="F20" s="195"/>
      <c r="G20" s="196"/>
    </row>
    <row r="21" spans="1:7" x14ac:dyDescent="0.25">
      <c r="A21" s="205" t="s">
        <v>231</v>
      </c>
      <c r="B21" s="198">
        <f t="shared" ref="B21:B23" si="5">C21</f>
        <v>328</v>
      </c>
      <c r="C21" s="198">
        <v>328</v>
      </c>
      <c r="D21" s="193"/>
      <c r="E21" s="194"/>
      <c r="F21" s="195"/>
      <c r="G21" s="196"/>
    </row>
    <row r="22" spans="1:7" x14ac:dyDescent="0.25">
      <c r="A22" s="205" t="s">
        <v>232</v>
      </c>
      <c r="B22" s="198">
        <f t="shared" si="5"/>
        <v>64</v>
      </c>
      <c r="C22" s="198">
        <v>64</v>
      </c>
      <c r="D22" s="193"/>
      <c r="E22" s="194"/>
      <c r="F22" s="195"/>
      <c r="G22" s="196"/>
    </row>
    <row r="23" spans="1:7" x14ac:dyDescent="0.25">
      <c r="A23" s="205" t="s">
        <v>233</v>
      </c>
      <c r="B23" s="198">
        <f t="shared" si="5"/>
        <v>82</v>
      </c>
      <c r="C23" s="198">
        <v>82</v>
      </c>
      <c r="D23" s="193"/>
      <c r="E23" s="194"/>
      <c r="F23" s="195"/>
      <c r="G23" s="196"/>
    </row>
    <row r="24" spans="1:7" x14ac:dyDescent="0.25">
      <c r="A24" s="173" t="s">
        <v>234</v>
      </c>
      <c r="B24" s="192"/>
      <c r="C24" s="192">
        <v>1365</v>
      </c>
      <c r="D24" s="201">
        <f t="shared" si="3"/>
        <v>0</v>
      </c>
      <c r="E24" s="200">
        <v>1781782</v>
      </c>
      <c r="F24" s="202">
        <f t="shared" si="4"/>
        <v>0</v>
      </c>
      <c r="G24" s="203">
        <f t="shared" si="2"/>
        <v>1</v>
      </c>
    </row>
    <row r="25" spans="1:7" x14ac:dyDescent="0.25">
      <c r="A25" s="173" t="s">
        <v>235</v>
      </c>
      <c r="B25" s="192"/>
      <c r="C25" s="192">
        <v>1401</v>
      </c>
      <c r="D25" s="201">
        <f t="shared" si="3"/>
        <v>0</v>
      </c>
      <c r="E25" s="200">
        <v>1781782</v>
      </c>
      <c r="F25" s="202">
        <f t="shared" si="4"/>
        <v>0</v>
      </c>
      <c r="G25" s="203">
        <f t="shared" si="2"/>
        <v>1</v>
      </c>
    </row>
    <row r="26" spans="1:7" x14ac:dyDescent="0.25">
      <c r="A26" s="206" t="s">
        <v>236</v>
      </c>
      <c r="B26" s="192"/>
      <c r="C26" s="192">
        <v>1449</v>
      </c>
      <c r="D26" s="201">
        <f t="shared" si="3"/>
        <v>0</v>
      </c>
      <c r="E26" s="200">
        <v>1781782</v>
      </c>
      <c r="F26" s="202">
        <f t="shared" si="4"/>
        <v>0</v>
      </c>
      <c r="G26" s="203">
        <f t="shared" si="2"/>
        <v>1</v>
      </c>
    </row>
    <row r="27" spans="1:7" x14ac:dyDescent="0.25">
      <c r="A27" s="206" t="s">
        <v>237</v>
      </c>
      <c r="B27" s="192">
        <f>SUM(B28:B30)</f>
        <v>350</v>
      </c>
      <c r="C27" s="192">
        <f>SUM(C28:C30)</f>
        <v>1485</v>
      </c>
      <c r="D27" s="201">
        <f t="shared" si="3"/>
        <v>0.23569999999999999</v>
      </c>
      <c r="E27" s="200">
        <v>1781782</v>
      </c>
      <c r="F27" s="202">
        <f t="shared" si="4"/>
        <v>1.9643256E-4</v>
      </c>
      <c r="G27" s="203">
        <f t="shared" si="2"/>
        <v>1.2350000000000001</v>
      </c>
    </row>
    <row r="28" spans="1:7" x14ac:dyDescent="0.25">
      <c r="A28" s="197" t="s">
        <v>238</v>
      </c>
      <c r="B28" s="198"/>
      <c r="C28" s="198">
        <v>1135</v>
      </c>
      <c r="D28" s="193"/>
      <c r="E28" s="194"/>
      <c r="F28" s="195"/>
      <c r="G28" s="196"/>
    </row>
    <row r="29" spans="1:7" x14ac:dyDescent="0.25">
      <c r="A29" s="197" t="s">
        <v>239</v>
      </c>
      <c r="B29" s="198">
        <f t="shared" ref="B29:B30" si="6">C29</f>
        <v>224</v>
      </c>
      <c r="C29" s="198">
        <v>224</v>
      </c>
      <c r="D29" s="193"/>
      <c r="E29" s="194"/>
      <c r="F29" s="195"/>
      <c r="G29" s="196"/>
    </row>
    <row r="30" spans="1:7" x14ac:dyDescent="0.25">
      <c r="A30" s="197" t="s">
        <v>240</v>
      </c>
      <c r="B30" s="198">
        <f t="shared" si="6"/>
        <v>126</v>
      </c>
      <c r="C30" s="198">
        <v>126</v>
      </c>
      <c r="D30" s="193"/>
      <c r="E30" s="194"/>
      <c r="F30" s="195"/>
      <c r="G30" s="196"/>
    </row>
    <row r="31" spans="1:7" x14ac:dyDescent="0.25">
      <c r="A31" s="206" t="s">
        <v>241</v>
      </c>
      <c r="B31" s="192"/>
      <c r="C31" s="192">
        <v>1262</v>
      </c>
      <c r="D31" s="201">
        <f t="shared" si="3"/>
        <v>0</v>
      </c>
      <c r="E31" s="200">
        <v>1781782</v>
      </c>
      <c r="F31" s="202">
        <f t="shared" si="4"/>
        <v>0</v>
      </c>
      <c r="G31" s="203">
        <f t="shared" si="2"/>
        <v>1</v>
      </c>
    </row>
    <row r="32" spans="1:7" x14ac:dyDescent="0.25">
      <c r="A32" s="199" t="s">
        <v>70</v>
      </c>
      <c r="B32" s="200">
        <f>B33+B37+B38+B48+B49+B54</f>
        <v>1930</v>
      </c>
      <c r="C32" s="200">
        <f>C33+C37+C38+C48+C49+C54</f>
        <v>22563</v>
      </c>
      <c r="D32" s="201">
        <f t="shared" si="0"/>
        <v>8.5500000000000007E-2</v>
      </c>
      <c r="E32" s="200">
        <v>1781782</v>
      </c>
      <c r="F32" s="202">
        <f t="shared" si="1"/>
        <v>1.08318526E-3</v>
      </c>
      <c r="G32" s="203">
        <f t="shared" si="2"/>
        <v>1.0840000000000001</v>
      </c>
    </row>
    <row r="33" spans="1:7" x14ac:dyDescent="0.25">
      <c r="A33" s="173" t="s">
        <v>242</v>
      </c>
      <c r="B33" s="192">
        <f>SUM(B34:B36)</f>
        <v>487</v>
      </c>
      <c r="C33" s="192">
        <f>SUM(C34:C36)</f>
        <v>7566</v>
      </c>
      <c r="D33" s="201">
        <f t="shared" si="0"/>
        <v>6.4399999999999999E-2</v>
      </c>
      <c r="E33" s="200">
        <v>1781782</v>
      </c>
      <c r="F33" s="202">
        <f t="shared" si="1"/>
        <v>2.7332187999999999E-4</v>
      </c>
      <c r="G33" s="203">
        <f t="shared" si="2"/>
        <v>1.0640000000000001</v>
      </c>
    </row>
    <row r="34" spans="1:7" x14ac:dyDescent="0.25">
      <c r="A34" s="197" t="s">
        <v>243</v>
      </c>
      <c r="B34" s="198"/>
      <c r="C34" s="198">
        <v>7079</v>
      </c>
      <c r="D34" s="193"/>
      <c r="E34" s="194"/>
      <c r="F34" s="195"/>
      <c r="G34" s="196"/>
    </row>
    <row r="35" spans="1:7" x14ac:dyDescent="0.25">
      <c r="A35" s="197" t="s">
        <v>244</v>
      </c>
      <c r="B35" s="198">
        <f t="shared" ref="B35:B36" si="7">C35</f>
        <v>394</v>
      </c>
      <c r="C35" s="198">
        <v>394</v>
      </c>
      <c r="D35" s="193"/>
      <c r="E35" s="194"/>
      <c r="F35" s="195"/>
      <c r="G35" s="196"/>
    </row>
    <row r="36" spans="1:7" x14ac:dyDescent="0.25">
      <c r="A36" s="197" t="s">
        <v>245</v>
      </c>
      <c r="B36" s="198">
        <f t="shared" si="7"/>
        <v>93</v>
      </c>
      <c r="C36" s="198">
        <v>93</v>
      </c>
      <c r="D36" s="193"/>
      <c r="E36" s="194"/>
      <c r="F36" s="195"/>
      <c r="G36" s="196"/>
    </row>
    <row r="37" spans="1:7" x14ac:dyDescent="0.25">
      <c r="A37" s="173" t="s">
        <v>246</v>
      </c>
      <c r="B37" s="192"/>
      <c r="C37" s="192">
        <v>1212</v>
      </c>
      <c r="D37" s="201">
        <f t="shared" ref="D37:D54" si="8">B37/C37</f>
        <v>0</v>
      </c>
      <c r="E37" s="200">
        <v>1781782</v>
      </c>
      <c r="F37" s="202">
        <f t="shared" ref="F37:F54" si="9">B37/E37</f>
        <v>0</v>
      </c>
      <c r="G37" s="203">
        <f t="shared" si="2"/>
        <v>1</v>
      </c>
    </row>
    <row r="38" spans="1:7" x14ac:dyDescent="0.25">
      <c r="A38" s="204" t="s">
        <v>247</v>
      </c>
      <c r="B38" s="192">
        <f>SUM(B39:B47)</f>
        <v>421</v>
      </c>
      <c r="C38" s="192">
        <f>SUM(C39:C47)</f>
        <v>3756</v>
      </c>
      <c r="D38" s="201">
        <f t="shared" si="8"/>
        <v>0.11210000000000001</v>
      </c>
      <c r="E38" s="200">
        <v>1781782</v>
      </c>
      <c r="F38" s="202">
        <f t="shared" si="9"/>
        <v>2.3628030999999999E-4</v>
      </c>
      <c r="G38" s="203">
        <f t="shared" si="2"/>
        <v>1.1120000000000001</v>
      </c>
    </row>
    <row r="39" spans="1:7" x14ac:dyDescent="0.25">
      <c r="A39" s="205" t="s">
        <v>248</v>
      </c>
      <c r="B39" s="198"/>
      <c r="C39" s="198">
        <v>2523</v>
      </c>
      <c r="D39" s="193"/>
      <c r="E39" s="194"/>
      <c r="F39" s="195"/>
      <c r="G39" s="196"/>
    </row>
    <row r="40" spans="1:7" x14ac:dyDescent="0.25">
      <c r="A40" s="205" t="s">
        <v>249</v>
      </c>
      <c r="B40" s="198"/>
      <c r="C40" s="198">
        <v>812</v>
      </c>
      <c r="D40" s="193"/>
      <c r="E40" s="194"/>
      <c r="F40" s="195"/>
      <c r="G40" s="196"/>
    </row>
    <row r="41" spans="1:7" x14ac:dyDescent="0.25">
      <c r="A41" s="205" t="s">
        <v>250</v>
      </c>
      <c r="B41" s="198">
        <f t="shared" ref="B41:B47" si="10">C41</f>
        <v>193</v>
      </c>
      <c r="C41" s="198">
        <v>193</v>
      </c>
      <c r="D41" s="193"/>
      <c r="E41" s="194"/>
      <c r="F41" s="195"/>
      <c r="G41" s="196"/>
    </row>
    <row r="42" spans="1:7" x14ac:dyDescent="0.25">
      <c r="A42" s="205" t="s">
        <v>251</v>
      </c>
      <c r="B42" s="198">
        <f t="shared" si="10"/>
        <v>1</v>
      </c>
      <c r="C42" s="198">
        <v>1</v>
      </c>
      <c r="D42" s="193"/>
      <c r="E42" s="194"/>
      <c r="F42" s="195"/>
      <c r="G42" s="196"/>
    </row>
    <row r="43" spans="1:7" x14ac:dyDescent="0.25">
      <c r="A43" s="205" t="s">
        <v>252</v>
      </c>
      <c r="B43" s="198">
        <f t="shared" si="10"/>
        <v>110</v>
      </c>
      <c r="C43" s="198">
        <v>110</v>
      </c>
      <c r="D43" s="193"/>
      <c r="E43" s="194"/>
      <c r="F43" s="195"/>
      <c r="G43" s="196"/>
    </row>
    <row r="44" spans="1:7" x14ac:dyDescent="0.25">
      <c r="A44" s="205" t="s">
        <v>253</v>
      </c>
      <c r="B44" s="198">
        <f t="shared" si="10"/>
        <v>41</v>
      </c>
      <c r="C44" s="198">
        <v>41</v>
      </c>
      <c r="D44" s="193"/>
      <c r="E44" s="194"/>
      <c r="F44" s="195"/>
      <c r="G44" s="196"/>
    </row>
    <row r="45" spans="1:7" x14ac:dyDescent="0.25">
      <c r="A45" s="205" t="s">
        <v>254</v>
      </c>
      <c r="B45" s="198">
        <f t="shared" si="10"/>
        <v>71</v>
      </c>
      <c r="C45" s="198">
        <v>71</v>
      </c>
      <c r="D45" s="193"/>
      <c r="E45" s="194"/>
      <c r="F45" s="195"/>
      <c r="G45" s="196"/>
    </row>
    <row r="46" spans="1:7" x14ac:dyDescent="0.25">
      <c r="A46" s="205" t="s">
        <v>255</v>
      </c>
      <c r="B46" s="198">
        <f t="shared" si="10"/>
        <v>2</v>
      </c>
      <c r="C46" s="198">
        <v>2</v>
      </c>
      <c r="D46" s="193"/>
      <c r="E46" s="194"/>
      <c r="F46" s="195"/>
      <c r="G46" s="196"/>
    </row>
    <row r="47" spans="1:7" x14ac:dyDescent="0.25">
      <c r="A47" s="205" t="s">
        <v>256</v>
      </c>
      <c r="B47" s="198">
        <f t="shared" si="10"/>
        <v>3</v>
      </c>
      <c r="C47" s="198">
        <v>3</v>
      </c>
      <c r="D47" s="207"/>
      <c r="E47" s="194"/>
      <c r="F47" s="208"/>
      <c r="G47" s="209"/>
    </row>
    <row r="48" spans="1:7" x14ac:dyDescent="0.25">
      <c r="A48" s="173" t="s">
        <v>257</v>
      </c>
      <c r="B48" s="192"/>
      <c r="C48" s="192">
        <v>1452</v>
      </c>
      <c r="D48" s="201">
        <f t="shared" si="8"/>
        <v>0</v>
      </c>
      <c r="E48" s="200">
        <v>1781782</v>
      </c>
      <c r="F48" s="202">
        <f t="shared" si="9"/>
        <v>0</v>
      </c>
      <c r="G48" s="203">
        <f t="shared" si="2"/>
        <v>1</v>
      </c>
    </row>
    <row r="49" spans="1:7" x14ac:dyDescent="0.25">
      <c r="A49" s="204" t="s">
        <v>258</v>
      </c>
      <c r="B49" s="192">
        <f>SUM(B50:B53)</f>
        <v>514</v>
      </c>
      <c r="C49" s="192">
        <f>SUM(C50:C53)</f>
        <v>1699</v>
      </c>
      <c r="D49" s="201">
        <f t="shared" si="8"/>
        <v>0.30249999999999999</v>
      </c>
      <c r="E49" s="200">
        <v>1781782</v>
      </c>
      <c r="F49" s="202">
        <f t="shared" si="9"/>
        <v>2.8847524999999998E-4</v>
      </c>
      <c r="G49" s="203">
        <f t="shared" si="2"/>
        <v>1.302</v>
      </c>
    </row>
    <row r="50" spans="1:7" x14ac:dyDescent="0.25">
      <c r="A50" s="205" t="s">
        <v>259</v>
      </c>
      <c r="B50" s="198"/>
      <c r="C50" s="198">
        <v>1185</v>
      </c>
      <c r="D50" s="193"/>
      <c r="E50" s="194"/>
      <c r="F50" s="195"/>
      <c r="G50" s="196"/>
    </row>
    <row r="51" spans="1:7" x14ac:dyDescent="0.25">
      <c r="A51" s="205" t="s">
        <v>260</v>
      </c>
      <c r="B51" s="198">
        <f t="shared" ref="B51:B53" si="11">C51</f>
        <v>497</v>
      </c>
      <c r="C51" s="198">
        <v>497</v>
      </c>
      <c r="D51" s="193"/>
      <c r="E51" s="194"/>
      <c r="F51" s="195"/>
      <c r="G51" s="196"/>
    </row>
    <row r="52" spans="1:7" x14ac:dyDescent="0.25">
      <c r="A52" s="205" t="s">
        <v>261</v>
      </c>
      <c r="B52" s="198">
        <f t="shared" si="11"/>
        <v>3</v>
      </c>
      <c r="C52" s="198">
        <v>3</v>
      </c>
      <c r="D52" s="193"/>
      <c r="E52" s="194"/>
      <c r="F52" s="195"/>
      <c r="G52" s="196"/>
    </row>
    <row r="53" spans="1:7" x14ac:dyDescent="0.25">
      <c r="A53" s="205" t="s">
        <v>262</v>
      </c>
      <c r="B53" s="198">
        <f t="shared" si="11"/>
        <v>14</v>
      </c>
      <c r="C53" s="198">
        <v>14</v>
      </c>
      <c r="D53" s="193"/>
      <c r="E53" s="194"/>
      <c r="F53" s="195"/>
      <c r="G53" s="196"/>
    </row>
    <row r="54" spans="1:7" x14ac:dyDescent="0.25">
      <c r="A54" s="210" t="s">
        <v>263</v>
      </c>
      <c r="B54" s="192">
        <f>SUM(B55:B60)</f>
        <v>508</v>
      </c>
      <c r="C54" s="192">
        <f>SUM(C55:C60)</f>
        <v>6878</v>
      </c>
      <c r="D54" s="201">
        <f t="shared" si="8"/>
        <v>7.3899999999999993E-2</v>
      </c>
      <c r="E54" s="200">
        <v>1781782</v>
      </c>
      <c r="F54" s="202">
        <f t="shared" si="9"/>
        <v>2.8510782999999998E-4</v>
      </c>
      <c r="G54" s="203">
        <f t="shared" si="2"/>
        <v>1.0740000000000001</v>
      </c>
    </row>
    <row r="55" spans="1:7" x14ac:dyDescent="0.25">
      <c r="A55" s="205" t="s">
        <v>264</v>
      </c>
      <c r="B55" s="198"/>
      <c r="C55" s="198">
        <v>6370</v>
      </c>
      <c r="D55" s="193"/>
      <c r="E55" s="194"/>
      <c r="F55" s="195"/>
      <c r="G55" s="196"/>
    </row>
    <row r="56" spans="1:7" x14ac:dyDescent="0.25">
      <c r="A56" s="205" t="s">
        <v>265</v>
      </c>
      <c r="B56" s="198">
        <f t="shared" ref="B56:B60" si="12">C56</f>
        <v>15</v>
      </c>
      <c r="C56" s="198">
        <v>15</v>
      </c>
      <c r="D56" s="193"/>
      <c r="E56" s="194"/>
      <c r="F56" s="195"/>
      <c r="G56" s="196"/>
    </row>
    <row r="57" spans="1:7" x14ac:dyDescent="0.25">
      <c r="A57" s="205" t="s">
        <v>266</v>
      </c>
      <c r="B57" s="198">
        <f t="shared" si="12"/>
        <v>24</v>
      </c>
      <c r="C57" s="198">
        <v>24</v>
      </c>
      <c r="D57" s="193"/>
      <c r="E57" s="194"/>
      <c r="F57" s="195"/>
      <c r="G57" s="196"/>
    </row>
    <row r="58" spans="1:7" x14ac:dyDescent="0.25">
      <c r="A58" s="205" t="s">
        <v>267</v>
      </c>
      <c r="B58" s="198">
        <f t="shared" si="12"/>
        <v>28</v>
      </c>
      <c r="C58" s="198">
        <v>28</v>
      </c>
      <c r="D58" s="193"/>
      <c r="E58" s="194"/>
      <c r="F58" s="195"/>
      <c r="G58" s="196"/>
    </row>
    <row r="59" spans="1:7" x14ac:dyDescent="0.25">
      <c r="A59" s="205" t="s">
        <v>268</v>
      </c>
      <c r="B59" s="198">
        <f t="shared" si="12"/>
        <v>126</v>
      </c>
      <c r="C59" s="198">
        <v>126</v>
      </c>
      <c r="D59" s="193"/>
      <c r="E59" s="194"/>
      <c r="F59" s="195"/>
      <c r="G59" s="196"/>
    </row>
    <row r="60" spans="1:7" x14ac:dyDescent="0.25">
      <c r="A60" s="205" t="s">
        <v>269</v>
      </c>
      <c r="B60" s="198">
        <f t="shared" si="12"/>
        <v>315</v>
      </c>
      <c r="C60" s="198">
        <v>315</v>
      </c>
      <c r="D60" s="193"/>
      <c r="E60" s="194"/>
      <c r="F60" s="195"/>
      <c r="G60" s="196"/>
    </row>
    <row r="61" spans="1:7" x14ac:dyDescent="0.25">
      <c r="A61" s="211" t="s">
        <v>76</v>
      </c>
      <c r="B61" s="212">
        <f>B62+B66+B71+B72+B77+B78+B83+B90+B91+B94</f>
        <v>2836</v>
      </c>
      <c r="C61" s="212">
        <f>C62+C66+C71+C72+C77+C78+C83+C90+C91+C94</f>
        <v>30211</v>
      </c>
      <c r="D61" s="213">
        <f t="shared" si="0"/>
        <v>9.3899999999999997E-2</v>
      </c>
      <c r="E61" s="212">
        <v>1781782</v>
      </c>
      <c r="F61" s="214">
        <f t="shared" si="1"/>
        <v>1.59166497E-3</v>
      </c>
      <c r="G61" s="215">
        <f t="shared" si="2"/>
        <v>1.0920000000000001</v>
      </c>
    </row>
    <row r="62" spans="1:7" x14ac:dyDescent="0.25">
      <c r="A62" s="173" t="s">
        <v>270</v>
      </c>
      <c r="B62" s="192">
        <f>SUM(B63:B65)</f>
        <v>441</v>
      </c>
      <c r="C62" s="192">
        <f>SUM(C63:C65)</f>
        <v>1858</v>
      </c>
      <c r="D62" s="213">
        <f t="shared" ref="D62:D94" si="13">B62/C62</f>
        <v>0.2374</v>
      </c>
      <c r="E62" s="212">
        <v>1781782</v>
      </c>
      <c r="F62" s="214">
        <f t="shared" ref="F62:F94" si="14">B62/E62</f>
        <v>2.4750503000000001E-4</v>
      </c>
      <c r="G62" s="215">
        <f t="shared" si="2"/>
        <v>1.2370000000000001</v>
      </c>
    </row>
    <row r="63" spans="1:7" x14ac:dyDescent="0.25">
      <c r="A63" s="197" t="s">
        <v>271</v>
      </c>
      <c r="B63" s="198"/>
      <c r="C63" s="198">
        <v>1417</v>
      </c>
      <c r="D63" s="193"/>
      <c r="E63" s="194"/>
      <c r="F63" s="195"/>
      <c r="G63" s="196"/>
    </row>
    <row r="64" spans="1:7" x14ac:dyDescent="0.25">
      <c r="A64" s="197" t="s">
        <v>272</v>
      </c>
      <c r="B64" s="198">
        <f t="shared" ref="B64:B65" si="15">C64</f>
        <v>172</v>
      </c>
      <c r="C64" s="198">
        <v>172</v>
      </c>
      <c r="D64" s="193"/>
      <c r="E64" s="194"/>
      <c r="F64" s="195"/>
      <c r="G64" s="196"/>
    </row>
    <row r="65" spans="1:7" x14ac:dyDescent="0.25">
      <c r="A65" s="197" t="s">
        <v>273</v>
      </c>
      <c r="B65" s="198">
        <f t="shared" si="15"/>
        <v>269</v>
      </c>
      <c r="C65" s="198">
        <v>269</v>
      </c>
      <c r="D65" s="193"/>
      <c r="E65" s="194"/>
      <c r="F65" s="195"/>
      <c r="G65" s="196"/>
    </row>
    <row r="66" spans="1:7" x14ac:dyDescent="0.25">
      <c r="A66" s="204" t="s">
        <v>274</v>
      </c>
      <c r="B66" s="192">
        <f>SUM(B67:B70)</f>
        <v>21</v>
      </c>
      <c r="C66" s="192">
        <f>SUM(C67:C70)</f>
        <v>2518</v>
      </c>
      <c r="D66" s="213">
        <f t="shared" si="13"/>
        <v>8.3000000000000001E-3</v>
      </c>
      <c r="E66" s="212">
        <v>1781782</v>
      </c>
      <c r="F66" s="214">
        <f t="shared" si="14"/>
        <v>1.178595E-5</v>
      </c>
      <c r="G66" s="215">
        <f t="shared" si="2"/>
        <v>1.008</v>
      </c>
    </row>
    <row r="67" spans="1:7" x14ac:dyDescent="0.25">
      <c r="A67" s="205" t="s">
        <v>275</v>
      </c>
      <c r="B67" s="198"/>
      <c r="C67" s="198">
        <v>2497</v>
      </c>
      <c r="D67" s="193"/>
      <c r="E67" s="194"/>
      <c r="F67" s="195"/>
      <c r="G67" s="196"/>
    </row>
    <row r="68" spans="1:7" x14ac:dyDescent="0.25">
      <c r="A68" s="205" t="s">
        <v>276</v>
      </c>
      <c r="B68" s="198">
        <f t="shared" ref="B68:B70" si="16">C68</f>
        <v>0</v>
      </c>
      <c r="C68" s="198">
        <v>0</v>
      </c>
      <c r="D68" s="193"/>
      <c r="E68" s="194"/>
      <c r="F68" s="195"/>
      <c r="G68" s="196"/>
    </row>
    <row r="69" spans="1:7" x14ac:dyDescent="0.25">
      <c r="A69" s="205" t="s">
        <v>277</v>
      </c>
      <c r="B69" s="198">
        <f t="shared" si="16"/>
        <v>10</v>
      </c>
      <c r="C69" s="198">
        <v>10</v>
      </c>
      <c r="D69" s="193"/>
      <c r="E69" s="194"/>
      <c r="F69" s="195"/>
      <c r="G69" s="196"/>
    </row>
    <row r="70" spans="1:7" x14ac:dyDescent="0.25">
      <c r="A70" s="205" t="s">
        <v>278</v>
      </c>
      <c r="B70" s="198">
        <f t="shared" si="16"/>
        <v>11</v>
      </c>
      <c r="C70" s="198">
        <v>11</v>
      </c>
      <c r="D70" s="193"/>
      <c r="E70" s="194"/>
      <c r="F70" s="195"/>
      <c r="G70" s="196"/>
    </row>
    <row r="71" spans="1:7" x14ac:dyDescent="0.25">
      <c r="A71" s="173" t="s">
        <v>279</v>
      </c>
      <c r="B71" s="192"/>
      <c r="C71" s="192">
        <v>2434</v>
      </c>
      <c r="D71" s="213">
        <f t="shared" si="13"/>
        <v>0</v>
      </c>
      <c r="E71" s="212">
        <v>1781782</v>
      </c>
      <c r="F71" s="214">
        <f t="shared" si="14"/>
        <v>0</v>
      </c>
      <c r="G71" s="215">
        <f t="shared" si="2"/>
        <v>1</v>
      </c>
    </row>
    <row r="72" spans="1:7" x14ac:dyDescent="0.25">
      <c r="A72" s="204" t="s">
        <v>280</v>
      </c>
      <c r="B72" s="192">
        <f>SUM(B73:B76)</f>
        <v>134</v>
      </c>
      <c r="C72" s="192">
        <f>SUM(C73:C76)</f>
        <v>2570</v>
      </c>
      <c r="D72" s="213">
        <f t="shared" si="13"/>
        <v>5.21E-2</v>
      </c>
      <c r="E72" s="212">
        <v>1781782</v>
      </c>
      <c r="F72" s="214">
        <f t="shared" si="14"/>
        <v>7.5205609999999998E-5</v>
      </c>
      <c r="G72" s="215">
        <f t="shared" si="2"/>
        <v>1.052</v>
      </c>
    </row>
    <row r="73" spans="1:7" x14ac:dyDescent="0.25">
      <c r="A73" s="205" t="s">
        <v>281</v>
      </c>
      <c r="B73" s="198"/>
      <c r="C73" s="198">
        <v>1096</v>
      </c>
      <c r="D73" s="193"/>
      <c r="E73" s="194"/>
      <c r="F73" s="195"/>
      <c r="G73" s="196"/>
    </row>
    <row r="74" spans="1:7" x14ac:dyDescent="0.25">
      <c r="A74" s="205" t="s">
        <v>282</v>
      </c>
      <c r="B74" s="198">
        <f>C74</f>
        <v>134</v>
      </c>
      <c r="C74" s="198">
        <v>134</v>
      </c>
      <c r="D74" s="193"/>
      <c r="E74" s="194"/>
      <c r="F74" s="195"/>
      <c r="G74" s="196"/>
    </row>
    <row r="75" spans="1:7" x14ac:dyDescent="0.25">
      <c r="A75" s="205" t="s">
        <v>283</v>
      </c>
      <c r="B75" s="198"/>
      <c r="C75" s="198">
        <v>701</v>
      </c>
      <c r="D75" s="193"/>
      <c r="E75" s="194"/>
      <c r="F75" s="195"/>
      <c r="G75" s="196"/>
    </row>
    <row r="76" spans="1:7" x14ac:dyDescent="0.25">
      <c r="A76" s="205" t="s">
        <v>284</v>
      </c>
      <c r="B76" s="198"/>
      <c r="C76" s="198">
        <v>639</v>
      </c>
      <c r="D76" s="193"/>
      <c r="E76" s="194"/>
      <c r="F76" s="195"/>
      <c r="G76" s="196"/>
    </row>
    <row r="77" spans="1:7" x14ac:dyDescent="0.25">
      <c r="A77" s="173" t="s">
        <v>285</v>
      </c>
      <c r="B77" s="192"/>
      <c r="C77" s="192">
        <v>1525</v>
      </c>
      <c r="D77" s="213">
        <f t="shared" si="13"/>
        <v>0</v>
      </c>
      <c r="E77" s="212">
        <v>1781782</v>
      </c>
      <c r="F77" s="214">
        <f t="shared" si="14"/>
        <v>0</v>
      </c>
      <c r="G77" s="215">
        <f t="shared" si="2"/>
        <v>1</v>
      </c>
    </row>
    <row r="78" spans="1:7" x14ac:dyDescent="0.25">
      <c r="A78" s="204" t="s">
        <v>286</v>
      </c>
      <c r="B78" s="192">
        <f>SUM(B79:B82)</f>
        <v>878</v>
      </c>
      <c r="C78" s="192">
        <f>SUM(C79:C82)</f>
        <v>4036</v>
      </c>
      <c r="D78" s="213">
        <f t="shared" si="13"/>
        <v>0.2175</v>
      </c>
      <c r="E78" s="212">
        <v>1781782</v>
      </c>
      <c r="F78" s="214">
        <f t="shared" si="14"/>
        <v>4.9276511000000004E-4</v>
      </c>
      <c r="G78" s="215">
        <f t="shared" si="2"/>
        <v>1.2170000000000001</v>
      </c>
    </row>
    <row r="79" spans="1:7" x14ac:dyDescent="0.25">
      <c r="A79" s="205" t="s">
        <v>287</v>
      </c>
      <c r="B79" s="198"/>
      <c r="C79" s="198">
        <v>3158</v>
      </c>
      <c r="D79" s="193"/>
      <c r="E79" s="194"/>
      <c r="F79" s="195"/>
      <c r="G79" s="196"/>
    </row>
    <row r="80" spans="1:7" x14ac:dyDescent="0.25">
      <c r="A80" s="205" t="s">
        <v>288</v>
      </c>
      <c r="B80" s="198">
        <f t="shared" ref="B80:B82" si="17">C80</f>
        <v>427</v>
      </c>
      <c r="C80" s="198">
        <v>427</v>
      </c>
      <c r="D80" s="193"/>
      <c r="E80" s="194"/>
      <c r="F80" s="195"/>
      <c r="G80" s="196"/>
    </row>
    <row r="81" spans="1:7" x14ac:dyDescent="0.25">
      <c r="A81" s="205" t="s">
        <v>289</v>
      </c>
      <c r="B81" s="198">
        <f t="shared" si="17"/>
        <v>423</v>
      </c>
      <c r="C81" s="198">
        <v>423</v>
      </c>
      <c r="D81" s="193"/>
      <c r="E81" s="194"/>
      <c r="F81" s="195"/>
      <c r="G81" s="196"/>
    </row>
    <row r="82" spans="1:7" x14ac:dyDescent="0.25">
      <c r="A82" s="205" t="s">
        <v>290</v>
      </c>
      <c r="B82" s="198">
        <f t="shared" si="17"/>
        <v>28</v>
      </c>
      <c r="C82" s="198">
        <v>28</v>
      </c>
      <c r="D82" s="193"/>
      <c r="E82" s="194"/>
      <c r="F82" s="195"/>
      <c r="G82" s="196"/>
    </row>
    <row r="83" spans="1:7" x14ac:dyDescent="0.25">
      <c r="A83" s="204" t="s">
        <v>291</v>
      </c>
      <c r="B83" s="192">
        <f>SUM(B84:B89)</f>
        <v>876</v>
      </c>
      <c r="C83" s="192">
        <f>SUM(C84:C89)</f>
        <v>2414</v>
      </c>
      <c r="D83" s="213">
        <f t="shared" si="13"/>
        <v>0.3629</v>
      </c>
      <c r="E83" s="212">
        <v>1781782</v>
      </c>
      <c r="F83" s="214">
        <f t="shared" si="14"/>
        <v>4.9164263999999997E-4</v>
      </c>
      <c r="G83" s="215">
        <f t="shared" ref="G83:G136" si="18">(D83+1)/(F83+1)</f>
        <v>1.3620000000000001</v>
      </c>
    </row>
    <row r="84" spans="1:7" x14ac:dyDescent="0.25">
      <c r="A84" s="205" t="s">
        <v>292</v>
      </c>
      <c r="B84" s="198"/>
      <c r="C84" s="198">
        <v>907</v>
      </c>
      <c r="D84" s="193"/>
      <c r="E84" s="194"/>
      <c r="F84" s="195"/>
      <c r="G84" s="196"/>
    </row>
    <row r="85" spans="1:7" x14ac:dyDescent="0.25">
      <c r="A85" s="205" t="s">
        <v>293</v>
      </c>
      <c r="B85" s="198">
        <f t="shared" ref="B85:B88" si="19">C85</f>
        <v>461</v>
      </c>
      <c r="C85" s="198">
        <v>461</v>
      </c>
      <c r="D85" s="193"/>
      <c r="E85" s="194"/>
      <c r="F85" s="195"/>
      <c r="G85" s="196"/>
    </row>
    <row r="86" spans="1:7" x14ac:dyDescent="0.25">
      <c r="A86" s="205" t="s">
        <v>294</v>
      </c>
      <c r="B86" s="198">
        <f t="shared" si="19"/>
        <v>376</v>
      </c>
      <c r="C86" s="198">
        <v>376</v>
      </c>
      <c r="D86" s="193"/>
      <c r="E86" s="194"/>
      <c r="F86" s="195"/>
      <c r="G86" s="196"/>
    </row>
    <row r="87" spans="1:7" x14ac:dyDescent="0.25">
      <c r="A87" s="205" t="s">
        <v>295</v>
      </c>
      <c r="B87" s="198">
        <f t="shared" si="19"/>
        <v>32</v>
      </c>
      <c r="C87" s="198">
        <v>32</v>
      </c>
      <c r="D87" s="193"/>
      <c r="E87" s="194"/>
      <c r="F87" s="195"/>
      <c r="G87" s="196"/>
    </row>
    <row r="88" spans="1:7" x14ac:dyDescent="0.25">
      <c r="A88" s="205" t="s">
        <v>296</v>
      </c>
      <c r="B88" s="198">
        <f t="shared" si="19"/>
        <v>7</v>
      </c>
      <c r="C88" s="198">
        <v>7</v>
      </c>
      <c r="D88" s="193"/>
      <c r="E88" s="194"/>
      <c r="F88" s="195"/>
      <c r="G88" s="196"/>
    </row>
    <row r="89" spans="1:7" x14ac:dyDescent="0.25">
      <c r="A89" s="205" t="s">
        <v>297</v>
      </c>
      <c r="B89" s="198"/>
      <c r="C89" s="198">
        <v>631</v>
      </c>
      <c r="D89" s="193"/>
      <c r="E89" s="194"/>
      <c r="F89" s="195"/>
      <c r="G89" s="196"/>
    </row>
    <row r="90" spans="1:7" x14ac:dyDescent="0.25">
      <c r="A90" s="173" t="s">
        <v>298</v>
      </c>
      <c r="B90" s="192"/>
      <c r="C90" s="192">
        <v>1227</v>
      </c>
      <c r="D90" s="213">
        <f t="shared" si="13"/>
        <v>0</v>
      </c>
      <c r="E90" s="212">
        <v>1781782</v>
      </c>
      <c r="F90" s="214">
        <f t="shared" si="14"/>
        <v>0</v>
      </c>
      <c r="G90" s="215">
        <f t="shared" si="18"/>
        <v>1</v>
      </c>
    </row>
    <row r="91" spans="1:7" x14ac:dyDescent="0.25">
      <c r="A91" s="173" t="s">
        <v>299</v>
      </c>
      <c r="B91" s="192">
        <f>SUM(B92:B93)</f>
        <v>486</v>
      </c>
      <c r="C91" s="192">
        <f>SUM(C92:C93)</f>
        <v>486</v>
      </c>
      <c r="D91" s="213">
        <f t="shared" si="13"/>
        <v>1</v>
      </c>
      <c r="E91" s="212">
        <v>1781782</v>
      </c>
      <c r="F91" s="214">
        <f t="shared" si="14"/>
        <v>2.7276063999999997E-4</v>
      </c>
      <c r="G91" s="215">
        <f t="shared" si="18"/>
        <v>1.9990000000000001</v>
      </c>
    </row>
    <row r="92" spans="1:7" x14ac:dyDescent="0.25">
      <c r="A92" s="197" t="s">
        <v>300</v>
      </c>
      <c r="B92" s="198">
        <f t="shared" ref="B92:B93" si="20">C92</f>
        <v>478</v>
      </c>
      <c r="C92" s="198">
        <v>478</v>
      </c>
      <c r="D92" s="193"/>
      <c r="E92" s="194"/>
      <c r="F92" s="195"/>
      <c r="G92" s="196"/>
    </row>
    <row r="93" spans="1:7" x14ac:dyDescent="0.25">
      <c r="A93" s="197" t="s">
        <v>301</v>
      </c>
      <c r="B93" s="198">
        <f t="shared" si="20"/>
        <v>8</v>
      </c>
      <c r="C93" s="198">
        <v>8</v>
      </c>
      <c r="D93" s="193"/>
      <c r="E93" s="194"/>
      <c r="F93" s="195"/>
      <c r="G93" s="196"/>
    </row>
    <row r="94" spans="1:7" x14ac:dyDescent="0.25">
      <c r="A94" s="173" t="s">
        <v>302</v>
      </c>
      <c r="B94" s="192"/>
      <c r="C94" s="192">
        <v>11143</v>
      </c>
      <c r="D94" s="213">
        <f t="shared" si="13"/>
        <v>0</v>
      </c>
      <c r="E94" s="212">
        <v>1781782</v>
      </c>
      <c r="F94" s="214">
        <f t="shared" si="14"/>
        <v>0</v>
      </c>
      <c r="G94" s="215">
        <f t="shared" si="18"/>
        <v>1</v>
      </c>
    </row>
    <row r="95" spans="1:7" x14ac:dyDescent="0.25">
      <c r="A95" s="211" t="s">
        <v>86</v>
      </c>
      <c r="B95" s="212">
        <f>B96+B97+B98+B101+B104+B105+B106+B107</f>
        <v>147</v>
      </c>
      <c r="C95" s="212">
        <f>C96+C97+C98+C101+C104+C105+C106+C107</f>
        <v>47712</v>
      </c>
      <c r="D95" s="213">
        <f t="shared" ref="D95:D110" si="21">B95/C95</f>
        <v>3.0999999999999999E-3</v>
      </c>
      <c r="E95" s="212">
        <v>1781782</v>
      </c>
      <c r="F95" s="214">
        <f t="shared" ref="F95:F113" si="22">B95/E95</f>
        <v>8.2501679999999995E-5</v>
      </c>
      <c r="G95" s="215">
        <f t="shared" si="18"/>
        <v>1.0029999999999999</v>
      </c>
    </row>
    <row r="96" spans="1:7" x14ac:dyDescent="0.25">
      <c r="A96" s="173" t="s">
        <v>303</v>
      </c>
      <c r="B96" s="192"/>
      <c r="C96" s="192">
        <v>2148</v>
      </c>
      <c r="D96" s="213">
        <f t="shared" ref="D96:D98" si="23">B96/C96</f>
        <v>0</v>
      </c>
      <c r="E96" s="212">
        <v>1781782</v>
      </c>
      <c r="F96" s="214">
        <f t="shared" si="22"/>
        <v>0</v>
      </c>
      <c r="G96" s="215">
        <f t="shared" si="18"/>
        <v>1</v>
      </c>
    </row>
    <row r="97" spans="1:7" x14ac:dyDescent="0.25">
      <c r="A97" s="173" t="s">
        <v>304</v>
      </c>
      <c r="B97" s="192"/>
      <c r="C97" s="192">
        <v>24503</v>
      </c>
      <c r="D97" s="213">
        <f t="shared" si="23"/>
        <v>0</v>
      </c>
      <c r="E97" s="212">
        <v>1781782</v>
      </c>
      <c r="F97" s="214">
        <f t="shared" si="22"/>
        <v>0</v>
      </c>
      <c r="G97" s="215">
        <f t="shared" si="18"/>
        <v>1</v>
      </c>
    </row>
    <row r="98" spans="1:7" x14ac:dyDescent="0.25">
      <c r="A98" s="173" t="s">
        <v>305</v>
      </c>
      <c r="B98" s="192">
        <f>SUM(B99:B100)</f>
        <v>147</v>
      </c>
      <c r="C98" s="192">
        <f>SUM(C99:C100)</f>
        <v>8055</v>
      </c>
      <c r="D98" s="213">
        <f t="shared" si="23"/>
        <v>1.8200000000000001E-2</v>
      </c>
      <c r="E98" s="212">
        <v>1781782</v>
      </c>
      <c r="F98" s="214">
        <f t="shared" si="22"/>
        <v>8.2501679999999995E-5</v>
      </c>
      <c r="G98" s="215">
        <f t="shared" si="18"/>
        <v>1.018</v>
      </c>
    </row>
    <row r="99" spans="1:7" x14ac:dyDescent="0.25">
      <c r="A99" s="197" t="s">
        <v>306</v>
      </c>
      <c r="B99" s="198"/>
      <c r="C99" s="198">
        <v>7908</v>
      </c>
      <c r="D99" s="193"/>
      <c r="E99" s="194"/>
      <c r="F99" s="195"/>
      <c r="G99" s="196"/>
    </row>
    <row r="100" spans="1:7" x14ac:dyDescent="0.25">
      <c r="A100" s="197" t="s">
        <v>307</v>
      </c>
      <c r="B100" s="198">
        <f>C100</f>
        <v>147</v>
      </c>
      <c r="C100" s="198">
        <v>147</v>
      </c>
      <c r="D100" s="193"/>
      <c r="E100" s="194"/>
      <c r="F100" s="195"/>
      <c r="G100" s="196"/>
    </row>
    <row r="101" spans="1:7" x14ac:dyDescent="0.25">
      <c r="A101" s="173" t="s">
        <v>308</v>
      </c>
      <c r="B101" s="192">
        <f>SUM(B102:B103)</f>
        <v>0</v>
      </c>
      <c r="C101" s="192">
        <f>SUM(C102:C103)</f>
        <v>1826</v>
      </c>
      <c r="D101" s="213">
        <f>B101/C101</f>
        <v>0</v>
      </c>
      <c r="E101" s="212">
        <v>1781782</v>
      </c>
      <c r="F101" s="214">
        <f t="shared" ref="F101:F107" si="24">B101/E101</f>
        <v>0</v>
      </c>
      <c r="G101" s="215">
        <f t="shared" ref="G101:G107" si="25">(D101+1)/(F101+1)</f>
        <v>1</v>
      </c>
    </row>
    <row r="102" spans="1:7" x14ac:dyDescent="0.25">
      <c r="A102" s="197" t="s">
        <v>309</v>
      </c>
      <c r="B102" s="216"/>
      <c r="C102" s="216">
        <v>693</v>
      </c>
      <c r="D102" s="193"/>
      <c r="E102" s="194"/>
      <c r="F102" s="195"/>
      <c r="G102" s="196"/>
    </row>
    <row r="103" spans="1:7" x14ac:dyDescent="0.25">
      <c r="A103" s="197" t="s">
        <v>310</v>
      </c>
      <c r="B103" s="216"/>
      <c r="C103" s="216">
        <v>1133</v>
      </c>
      <c r="D103" s="193"/>
      <c r="E103" s="194"/>
      <c r="F103" s="195"/>
      <c r="G103" s="196"/>
    </row>
    <row r="104" spans="1:7" x14ac:dyDescent="0.25">
      <c r="A104" s="206" t="s">
        <v>311</v>
      </c>
      <c r="B104" s="192"/>
      <c r="C104" s="192">
        <v>1893</v>
      </c>
      <c r="D104" s="213">
        <f t="shared" ref="D104:D107" si="26">B104/C104</f>
        <v>0</v>
      </c>
      <c r="E104" s="212">
        <v>1781782</v>
      </c>
      <c r="F104" s="214">
        <f t="shared" si="24"/>
        <v>0</v>
      </c>
      <c r="G104" s="215">
        <f t="shared" si="25"/>
        <v>1</v>
      </c>
    </row>
    <row r="105" spans="1:7" x14ac:dyDescent="0.25">
      <c r="A105" s="206" t="s">
        <v>312</v>
      </c>
      <c r="B105" s="192"/>
      <c r="C105" s="192">
        <v>1978</v>
      </c>
      <c r="D105" s="213">
        <f t="shared" si="26"/>
        <v>0</v>
      </c>
      <c r="E105" s="212">
        <v>1781782</v>
      </c>
      <c r="F105" s="214">
        <f t="shared" si="24"/>
        <v>0</v>
      </c>
      <c r="G105" s="215">
        <f t="shared" si="25"/>
        <v>1</v>
      </c>
    </row>
    <row r="106" spans="1:7" x14ac:dyDescent="0.25">
      <c r="A106" s="206" t="s">
        <v>313</v>
      </c>
      <c r="B106" s="192"/>
      <c r="C106" s="192">
        <v>613</v>
      </c>
      <c r="D106" s="213">
        <f t="shared" si="26"/>
        <v>0</v>
      </c>
      <c r="E106" s="212">
        <v>1781782</v>
      </c>
      <c r="F106" s="214">
        <f t="shared" si="24"/>
        <v>0</v>
      </c>
      <c r="G106" s="215">
        <f t="shared" si="25"/>
        <v>1</v>
      </c>
    </row>
    <row r="107" spans="1:7" x14ac:dyDescent="0.25">
      <c r="A107" s="206" t="s">
        <v>314</v>
      </c>
      <c r="B107" s="192">
        <f>SUM(B108:B109)</f>
        <v>0</v>
      </c>
      <c r="C107" s="192">
        <f>SUM(C108:C109)</f>
        <v>6696</v>
      </c>
      <c r="D107" s="213">
        <f t="shared" si="26"/>
        <v>0</v>
      </c>
      <c r="E107" s="212">
        <v>1781782</v>
      </c>
      <c r="F107" s="214">
        <f t="shared" si="24"/>
        <v>0</v>
      </c>
      <c r="G107" s="215">
        <f t="shared" si="25"/>
        <v>1</v>
      </c>
    </row>
    <row r="108" spans="1:7" x14ac:dyDescent="0.25">
      <c r="A108" s="197" t="s">
        <v>315</v>
      </c>
      <c r="B108" s="216"/>
      <c r="C108" s="216">
        <v>5398</v>
      </c>
      <c r="D108" s="193"/>
      <c r="E108" s="194"/>
      <c r="F108" s="195"/>
      <c r="G108" s="196"/>
    </row>
    <row r="109" spans="1:7" x14ac:dyDescent="0.25">
      <c r="A109" s="197" t="s">
        <v>316</v>
      </c>
      <c r="B109" s="216"/>
      <c r="C109" s="216">
        <v>1298</v>
      </c>
      <c r="D109" s="193"/>
      <c r="E109" s="194"/>
      <c r="F109" s="195"/>
      <c r="G109" s="196"/>
    </row>
    <row r="110" spans="1:7" x14ac:dyDescent="0.25">
      <c r="A110" s="211" t="s">
        <v>91</v>
      </c>
      <c r="B110" s="212">
        <f>B111+B112+B113+B116+B120+B126+B129+B130</f>
        <v>865</v>
      </c>
      <c r="C110" s="212">
        <f>C111+C112+C113+C116+C120+C126+C129+C130</f>
        <v>38925</v>
      </c>
      <c r="D110" s="213">
        <f t="shared" si="21"/>
        <v>2.2200000000000001E-2</v>
      </c>
      <c r="E110" s="212">
        <v>1781782</v>
      </c>
      <c r="F110" s="214">
        <f t="shared" si="22"/>
        <v>4.8546903999999999E-4</v>
      </c>
      <c r="G110" s="215">
        <f t="shared" si="18"/>
        <v>1.022</v>
      </c>
    </row>
    <row r="111" spans="1:7" x14ac:dyDescent="0.25">
      <c r="A111" s="173" t="s">
        <v>317</v>
      </c>
      <c r="B111" s="192"/>
      <c r="C111" s="192">
        <v>562</v>
      </c>
      <c r="D111" s="213">
        <f t="shared" ref="D111:D130" si="27">B111/C111</f>
        <v>0</v>
      </c>
      <c r="E111" s="212">
        <v>1781782</v>
      </c>
      <c r="F111" s="214">
        <f t="shared" si="22"/>
        <v>0</v>
      </c>
      <c r="G111" s="215">
        <f t="shared" si="18"/>
        <v>1</v>
      </c>
    </row>
    <row r="112" spans="1:7" x14ac:dyDescent="0.25">
      <c r="A112" s="173" t="s">
        <v>318</v>
      </c>
      <c r="B112" s="192"/>
      <c r="C112" s="192">
        <v>659</v>
      </c>
      <c r="D112" s="213">
        <f t="shared" si="27"/>
        <v>0</v>
      </c>
      <c r="E112" s="212">
        <v>1781782</v>
      </c>
      <c r="F112" s="214">
        <f t="shared" si="22"/>
        <v>0</v>
      </c>
      <c r="G112" s="215">
        <f t="shared" si="18"/>
        <v>1</v>
      </c>
    </row>
    <row r="113" spans="1:7" x14ac:dyDescent="0.25">
      <c r="A113" s="173" t="s">
        <v>319</v>
      </c>
      <c r="B113" s="192">
        <f>SUM(B114:B115)</f>
        <v>0</v>
      </c>
      <c r="C113" s="192">
        <f>SUM(C114:C115)</f>
        <v>2023</v>
      </c>
      <c r="D113" s="213">
        <f t="shared" si="27"/>
        <v>0</v>
      </c>
      <c r="E113" s="212">
        <v>1781782</v>
      </c>
      <c r="F113" s="214">
        <f t="shared" si="22"/>
        <v>0</v>
      </c>
      <c r="G113" s="215">
        <f t="shared" si="18"/>
        <v>1</v>
      </c>
    </row>
    <row r="114" spans="1:7" x14ac:dyDescent="0.25">
      <c r="A114" s="197" t="s">
        <v>320</v>
      </c>
      <c r="B114" s="198"/>
      <c r="C114" s="198">
        <v>1409</v>
      </c>
      <c r="D114" s="193"/>
      <c r="E114" s="194"/>
      <c r="F114" s="195"/>
      <c r="G114" s="196"/>
    </row>
    <row r="115" spans="1:7" x14ac:dyDescent="0.25">
      <c r="A115" s="197" t="s">
        <v>321</v>
      </c>
      <c r="B115" s="198"/>
      <c r="C115" s="198">
        <v>614</v>
      </c>
      <c r="D115" s="193"/>
      <c r="E115" s="194"/>
      <c r="F115" s="195"/>
      <c r="G115" s="196"/>
    </row>
    <row r="116" spans="1:7" x14ac:dyDescent="0.25">
      <c r="A116" s="204" t="s">
        <v>322</v>
      </c>
      <c r="B116" s="192">
        <f>SUM(B117:B119)</f>
        <v>62</v>
      </c>
      <c r="C116" s="192">
        <f>SUM(C117:C119)</f>
        <v>788</v>
      </c>
      <c r="D116" s="213">
        <f t="shared" si="27"/>
        <v>7.8700000000000006E-2</v>
      </c>
      <c r="E116" s="212">
        <v>1781782</v>
      </c>
      <c r="F116" s="214">
        <f t="shared" ref="F116:F130" si="28">B116/E116</f>
        <v>3.479662E-5</v>
      </c>
      <c r="G116" s="215">
        <f t="shared" ref="G116:G130" si="29">(D116+1)/(F116+1)</f>
        <v>1.079</v>
      </c>
    </row>
    <row r="117" spans="1:7" x14ac:dyDescent="0.25">
      <c r="A117" s="205" t="s">
        <v>323</v>
      </c>
      <c r="B117" s="198"/>
      <c r="C117" s="198">
        <v>726</v>
      </c>
      <c r="D117" s="193"/>
      <c r="E117" s="194"/>
      <c r="F117" s="195"/>
      <c r="G117" s="196"/>
    </row>
    <row r="118" spans="1:7" x14ac:dyDescent="0.25">
      <c r="A118" s="205" t="s">
        <v>324</v>
      </c>
      <c r="B118" s="198">
        <f t="shared" ref="B118:B119" si="30">C118</f>
        <v>35</v>
      </c>
      <c r="C118" s="198">
        <v>35</v>
      </c>
      <c r="D118" s="193"/>
      <c r="E118" s="194"/>
      <c r="F118" s="195"/>
      <c r="G118" s="196"/>
    </row>
    <row r="119" spans="1:7" x14ac:dyDescent="0.25">
      <c r="A119" s="205" t="s">
        <v>325</v>
      </c>
      <c r="B119" s="198">
        <f t="shared" si="30"/>
        <v>27</v>
      </c>
      <c r="C119" s="198">
        <v>27</v>
      </c>
      <c r="D119" s="193"/>
      <c r="E119" s="194"/>
      <c r="F119" s="195"/>
      <c r="G119" s="196"/>
    </row>
    <row r="120" spans="1:7" x14ac:dyDescent="0.25">
      <c r="A120" s="204" t="s">
        <v>326</v>
      </c>
      <c r="B120" s="192">
        <f>SUM(B121:B125)</f>
        <v>233</v>
      </c>
      <c r="C120" s="192">
        <f>SUM(C121:C125)</f>
        <v>1743</v>
      </c>
      <c r="D120" s="213">
        <f t="shared" si="27"/>
        <v>0.13370000000000001</v>
      </c>
      <c r="E120" s="212">
        <v>1781782</v>
      </c>
      <c r="F120" s="214">
        <f t="shared" si="28"/>
        <v>1.3076795999999999E-4</v>
      </c>
      <c r="G120" s="215">
        <f t="shared" si="29"/>
        <v>1.1339999999999999</v>
      </c>
    </row>
    <row r="121" spans="1:7" x14ac:dyDescent="0.25">
      <c r="A121" s="205" t="s">
        <v>327</v>
      </c>
      <c r="B121" s="198"/>
      <c r="C121" s="198">
        <v>918</v>
      </c>
      <c r="D121" s="193"/>
      <c r="E121" s="194"/>
      <c r="F121" s="195"/>
      <c r="G121" s="196"/>
    </row>
    <row r="122" spans="1:7" x14ac:dyDescent="0.25">
      <c r="A122" s="205" t="s">
        <v>328</v>
      </c>
      <c r="B122" s="198"/>
      <c r="C122" s="198">
        <v>592</v>
      </c>
      <c r="D122" s="193"/>
      <c r="E122" s="194"/>
      <c r="F122" s="195"/>
      <c r="G122" s="196"/>
    </row>
    <row r="123" spans="1:7" x14ac:dyDescent="0.25">
      <c r="A123" s="205" t="s">
        <v>329</v>
      </c>
      <c r="B123" s="198">
        <f t="shared" ref="B123:B125" si="31">C123</f>
        <v>36</v>
      </c>
      <c r="C123" s="198">
        <v>36</v>
      </c>
      <c r="D123" s="193"/>
      <c r="E123" s="194"/>
      <c r="F123" s="195"/>
      <c r="G123" s="196"/>
    </row>
    <row r="124" spans="1:7" x14ac:dyDescent="0.25">
      <c r="A124" s="205" t="s">
        <v>330</v>
      </c>
      <c r="B124" s="198">
        <f t="shared" si="31"/>
        <v>56</v>
      </c>
      <c r="C124" s="198">
        <v>56</v>
      </c>
      <c r="D124" s="193"/>
      <c r="E124" s="194"/>
      <c r="F124" s="195"/>
      <c r="G124" s="196"/>
    </row>
    <row r="125" spans="1:7" x14ac:dyDescent="0.25">
      <c r="A125" s="205" t="s">
        <v>331</v>
      </c>
      <c r="B125" s="198">
        <f t="shared" si="31"/>
        <v>141</v>
      </c>
      <c r="C125" s="198">
        <v>141</v>
      </c>
      <c r="D125" s="193"/>
      <c r="E125" s="194"/>
      <c r="F125" s="195"/>
      <c r="G125" s="196"/>
    </row>
    <row r="126" spans="1:7" x14ac:dyDescent="0.25">
      <c r="A126" s="173" t="s">
        <v>332</v>
      </c>
      <c r="B126" s="192">
        <f>SUM(B127:B128)</f>
        <v>0</v>
      </c>
      <c r="C126" s="192">
        <f>SUM(C127:C128)</f>
        <v>9770</v>
      </c>
      <c r="D126" s="213">
        <f t="shared" si="27"/>
        <v>0</v>
      </c>
      <c r="E126" s="212">
        <v>1781782</v>
      </c>
      <c r="F126" s="214">
        <f t="shared" si="28"/>
        <v>0</v>
      </c>
      <c r="G126" s="215">
        <f t="shared" si="29"/>
        <v>1</v>
      </c>
    </row>
    <row r="127" spans="1:7" x14ac:dyDescent="0.25">
      <c r="A127" s="197" t="s">
        <v>333</v>
      </c>
      <c r="B127" s="198"/>
      <c r="C127" s="198">
        <v>8964</v>
      </c>
      <c r="D127" s="193"/>
      <c r="E127" s="194"/>
      <c r="F127" s="195"/>
      <c r="G127" s="196"/>
    </row>
    <row r="128" spans="1:7" x14ac:dyDescent="0.25">
      <c r="A128" s="197" t="s">
        <v>334</v>
      </c>
      <c r="B128" s="198"/>
      <c r="C128" s="198">
        <v>806</v>
      </c>
      <c r="D128" s="193"/>
      <c r="E128" s="194"/>
      <c r="F128" s="195"/>
      <c r="G128" s="196"/>
    </row>
    <row r="129" spans="1:7" x14ac:dyDescent="0.25">
      <c r="A129" s="173" t="s">
        <v>335</v>
      </c>
      <c r="B129" s="192"/>
      <c r="C129" s="192">
        <v>542</v>
      </c>
      <c r="D129" s="213">
        <f t="shared" si="27"/>
        <v>0</v>
      </c>
      <c r="E129" s="212">
        <v>1781782</v>
      </c>
      <c r="F129" s="214">
        <f t="shared" si="28"/>
        <v>0</v>
      </c>
      <c r="G129" s="215">
        <f t="shared" si="29"/>
        <v>1</v>
      </c>
    </row>
    <row r="130" spans="1:7" x14ac:dyDescent="0.25">
      <c r="A130" s="210" t="s">
        <v>336</v>
      </c>
      <c r="B130" s="192">
        <f>SUM(B131:B134)</f>
        <v>570</v>
      </c>
      <c r="C130" s="192">
        <f>SUM(C131:C134)</f>
        <v>22838</v>
      </c>
      <c r="D130" s="213">
        <f t="shared" si="27"/>
        <v>2.5000000000000001E-2</v>
      </c>
      <c r="E130" s="212">
        <v>1781782</v>
      </c>
      <c r="F130" s="214">
        <f t="shared" si="28"/>
        <v>3.1990445999999998E-4</v>
      </c>
      <c r="G130" s="215">
        <f t="shared" si="29"/>
        <v>1.0249999999999999</v>
      </c>
    </row>
    <row r="131" spans="1:7" x14ac:dyDescent="0.25">
      <c r="A131" s="205" t="s">
        <v>337</v>
      </c>
      <c r="B131" s="198"/>
      <c r="C131" s="198">
        <v>22268</v>
      </c>
      <c r="D131" s="193"/>
      <c r="E131" s="194"/>
      <c r="F131" s="195"/>
      <c r="G131" s="196"/>
    </row>
    <row r="132" spans="1:7" x14ac:dyDescent="0.25">
      <c r="A132" s="205" t="s">
        <v>338</v>
      </c>
      <c r="B132" s="198">
        <f t="shared" ref="B132:B134" si="32">C132</f>
        <v>465</v>
      </c>
      <c r="C132" s="198">
        <v>465</v>
      </c>
      <c r="D132" s="193"/>
      <c r="E132" s="194"/>
      <c r="F132" s="195"/>
      <c r="G132" s="196"/>
    </row>
    <row r="133" spans="1:7" x14ac:dyDescent="0.25">
      <c r="A133" s="205" t="s">
        <v>339</v>
      </c>
      <c r="B133" s="198">
        <f t="shared" si="32"/>
        <v>44</v>
      </c>
      <c r="C133" s="198">
        <v>44</v>
      </c>
      <c r="D133" s="193"/>
      <c r="E133" s="194"/>
      <c r="F133" s="195"/>
      <c r="G133" s="196"/>
    </row>
    <row r="134" spans="1:7" x14ac:dyDescent="0.25">
      <c r="A134" s="205" t="s">
        <v>340</v>
      </c>
      <c r="B134" s="198">
        <f t="shared" si="32"/>
        <v>61</v>
      </c>
      <c r="C134" s="198">
        <v>61</v>
      </c>
      <c r="D134" s="193"/>
      <c r="E134" s="194"/>
      <c r="F134" s="195"/>
      <c r="G134" s="196"/>
    </row>
    <row r="135" spans="1:7" x14ac:dyDescent="0.25">
      <c r="A135" s="211" t="s">
        <v>99</v>
      </c>
      <c r="B135" s="212">
        <f>B136+B139+B145+B150+B151+B152+B153+B154+B155+B159+B162</f>
        <v>3633</v>
      </c>
      <c r="C135" s="212">
        <f>C136+C139+C145+C150+C151+C152+C153+C154+C155+C159+C162</f>
        <v>32023</v>
      </c>
      <c r="D135" s="213">
        <f t="shared" ref="D135:D174" si="33">B135/C135</f>
        <v>0.1134</v>
      </c>
      <c r="E135" s="212">
        <v>1781782</v>
      </c>
      <c r="F135" s="214">
        <f t="shared" ref="F135:F174" si="34">B135/E135</f>
        <v>2.0389699799999998E-3</v>
      </c>
      <c r="G135" s="215">
        <f t="shared" si="18"/>
        <v>1.111</v>
      </c>
    </row>
    <row r="136" spans="1:7" x14ac:dyDescent="0.25">
      <c r="A136" s="173" t="s">
        <v>341</v>
      </c>
      <c r="B136" s="192">
        <f>SUM(B137:B138)</f>
        <v>163</v>
      </c>
      <c r="C136" s="192">
        <f>SUM(C137:C138)</f>
        <v>1129</v>
      </c>
      <c r="D136" s="213">
        <f>B136/C136</f>
        <v>0.1444</v>
      </c>
      <c r="E136" s="212">
        <v>1781782</v>
      </c>
      <c r="F136" s="214">
        <f t="shared" si="34"/>
        <v>9.1481450000000005E-5</v>
      </c>
      <c r="G136" s="215">
        <f t="shared" si="18"/>
        <v>1.1439999999999999</v>
      </c>
    </row>
    <row r="137" spans="1:7" x14ac:dyDescent="0.25">
      <c r="A137" s="197" t="s">
        <v>342</v>
      </c>
      <c r="B137" s="198"/>
      <c r="C137" s="198">
        <v>966</v>
      </c>
      <c r="D137" s="193"/>
      <c r="E137" s="194"/>
      <c r="F137" s="195"/>
      <c r="G137" s="196"/>
    </row>
    <row r="138" spans="1:7" x14ac:dyDescent="0.25">
      <c r="A138" s="197" t="s">
        <v>343</v>
      </c>
      <c r="B138" s="198">
        <f>C138</f>
        <v>163</v>
      </c>
      <c r="C138" s="198">
        <v>163</v>
      </c>
      <c r="D138" s="193"/>
      <c r="E138" s="194"/>
      <c r="F138" s="195"/>
      <c r="G138" s="196"/>
    </row>
    <row r="139" spans="1:7" x14ac:dyDescent="0.25">
      <c r="A139" s="204" t="s">
        <v>344</v>
      </c>
      <c r="B139" s="192">
        <f>SUM(B140:B144)</f>
        <v>1895</v>
      </c>
      <c r="C139" s="192">
        <f>SUM(C140:C144)</f>
        <v>1895</v>
      </c>
      <c r="D139" s="213">
        <f>B139/C139</f>
        <v>1</v>
      </c>
      <c r="E139" s="212">
        <v>1781782</v>
      </c>
      <c r="F139" s="214">
        <f t="shared" ref="F139:F162" si="35">B139/E139</f>
        <v>1.063542E-3</v>
      </c>
      <c r="G139" s="215">
        <f t="shared" ref="G139:G162" si="36">(D139+1)/(F139+1)</f>
        <v>1.998</v>
      </c>
    </row>
    <row r="140" spans="1:7" x14ac:dyDescent="0.25">
      <c r="A140" s="205" t="s">
        <v>345</v>
      </c>
      <c r="B140" s="198">
        <f t="shared" ref="B140:B144" si="37">C140</f>
        <v>471</v>
      </c>
      <c r="C140" s="198">
        <v>471</v>
      </c>
      <c r="D140" s="193"/>
      <c r="E140" s="194"/>
      <c r="F140" s="195"/>
      <c r="G140" s="196"/>
    </row>
    <row r="141" spans="1:7" x14ac:dyDescent="0.25">
      <c r="A141" s="205" t="s">
        <v>346</v>
      </c>
      <c r="B141" s="198">
        <f t="shared" si="37"/>
        <v>480</v>
      </c>
      <c r="C141" s="198">
        <v>480</v>
      </c>
      <c r="D141" s="193"/>
      <c r="E141" s="194"/>
      <c r="F141" s="195"/>
      <c r="G141" s="196"/>
    </row>
    <row r="142" spans="1:7" x14ac:dyDescent="0.25">
      <c r="A142" s="205" t="s">
        <v>347</v>
      </c>
      <c r="B142" s="198">
        <f t="shared" si="37"/>
        <v>198</v>
      </c>
      <c r="C142" s="198">
        <v>198</v>
      </c>
      <c r="D142" s="193"/>
      <c r="E142" s="194"/>
      <c r="F142" s="195"/>
      <c r="G142" s="196"/>
    </row>
    <row r="143" spans="1:7" x14ac:dyDescent="0.25">
      <c r="A143" s="205" t="s">
        <v>348</v>
      </c>
      <c r="B143" s="198">
        <f t="shared" si="37"/>
        <v>406</v>
      </c>
      <c r="C143" s="198">
        <v>406</v>
      </c>
      <c r="D143" s="193"/>
      <c r="E143" s="194"/>
      <c r="F143" s="195"/>
      <c r="G143" s="196"/>
    </row>
    <row r="144" spans="1:7" x14ac:dyDescent="0.25">
      <c r="A144" s="205" t="s">
        <v>349</v>
      </c>
      <c r="B144" s="198">
        <f t="shared" si="37"/>
        <v>340</v>
      </c>
      <c r="C144" s="198">
        <v>340</v>
      </c>
      <c r="D144" s="193"/>
      <c r="E144" s="194"/>
      <c r="F144" s="195"/>
      <c r="G144" s="196"/>
    </row>
    <row r="145" spans="1:7" x14ac:dyDescent="0.25">
      <c r="A145" s="204" t="s">
        <v>350</v>
      </c>
      <c r="B145" s="192">
        <f>SUM(B146:B149)</f>
        <v>729</v>
      </c>
      <c r="C145" s="192">
        <f>SUM(C146:C149)</f>
        <v>3385</v>
      </c>
      <c r="D145" s="213">
        <f>B145/C145</f>
        <v>0.21540000000000001</v>
      </c>
      <c r="E145" s="212">
        <v>1781782</v>
      </c>
      <c r="F145" s="214">
        <f t="shared" si="35"/>
        <v>4.0914096000000002E-4</v>
      </c>
      <c r="G145" s="215">
        <f t="shared" si="36"/>
        <v>1.2150000000000001</v>
      </c>
    </row>
    <row r="146" spans="1:7" x14ac:dyDescent="0.25">
      <c r="A146" s="205" t="s">
        <v>351</v>
      </c>
      <c r="B146" s="198"/>
      <c r="C146" s="198">
        <v>2656</v>
      </c>
      <c r="D146" s="193"/>
      <c r="E146" s="194"/>
      <c r="F146" s="195"/>
      <c r="G146" s="196"/>
    </row>
    <row r="147" spans="1:7" x14ac:dyDescent="0.25">
      <c r="A147" s="205" t="s">
        <v>352</v>
      </c>
      <c r="B147" s="198">
        <f t="shared" ref="B147:B149" si="38">C147</f>
        <v>297</v>
      </c>
      <c r="C147" s="198">
        <v>297</v>
      </c>
      <c r="D147" s="193"/>
      <c r="E147" s="194"/>
      <c r="F147" s="195"/>
      <c r="G147" s="196"/>
    </row>
    <row r="148" spans="1:7" x14ac:dyDescent="0.25">
      <c r="A148" s="205" t="s">
        <v>353</v>
      </c>
      <c r="B148" s="198">
        <f t="shared" si="38"/>
        <v>429</v>
      </c>
      <c r="C148" s="198">
        <v>429</v>
      </c>
      <c r="D148" s="193"/>
      <c r="E148" s="194"/>
      <c r="F148" s="195"/>
      <c r="G148" s="196"/>
    </row>
    <row r="149" spans="1:7" x14ac:dyDescent="0.25">
      <c r="A149" s="205" t="s">
        <v>354</v>
      </c>
      <c r="B149" s="198">
        <f t="shared" si="38"/>
        <v>3</v>
      </c>
      <c r="C149" s="198">
        <v>3</v>
      </c>
      <c r="D149" s="193"/>
      <c r="E149" s="194"/>
      <c r="F149" s="195"/>
      <c r="G149" s="196"/>
    </row>
    <row r="150" spans="1:7" x14ac:dyDescent="0.25">
      <c r="A150" s="173" t="s">
        <v>355</v>
      </c>
      <c r="B150" s="192"/>
      <c r="C150" s="192">
        <v>7431</v>
      </c>
      <c r="D150" s="213">
        <f t="shared" ref="D150:D162" si="39">B150/C150</f>
        <v>0</v>
      </c>
      <c r="E150" s="212">
        <v>1781782</v>
      </c>
      <c r="F150" s="214">
        <f t="shared" si="35"/>
        <v>0</v>
      </c>
      <c r="G150" s="215">
        <f t="shared" si="36"/>
        <v>1</v>
      </c>
    </row>
    <row r="151" spans="1:7" x14ac:dyDescent="0.25">
      <c r="A151" s="173" t="s">
        <v>356</v>
      </c>
      <c r="B151" s="192"/>
      <c r="C151" s="192">
        <v>1687</v>
      </c>
      <c r="D151" s="213">
        <f t="shared" si="39"/>
        <v>0</v>
      </c>
      <c r="E151" s="212">
        <v>1781782</v>
      </c>
      <c r="F151" s="214">
        <f t="shared" si="35"/>
        <v>0</v>
      </c>
      <c r="G151" s="215">
        <f t="shared" si="36"/>
        <v>1</v>
      </c>
    </row>
    <row r="152" spans="1:7" x14ac:dyDescent="0.25">
      <c r="A152" s="173" t="s">
        <v>357</v>
      </c>
      <c r="B152" s="192"/>
      <c r="C152" s="192">
        <v>3457</v>
      </c>
      <c r="D152" s="213">
        <f t="shared" si="39"/>
        <v>0</v>
      </c>
      <c r="E152" s="212">
        <v>1781782</v>
      </c>
      <c r="F152" s="214">
        <f t="shared" si="35"/>
        <v>0</v>
      </c>
      <c r="G152" s="215">
        <f t="shared" si="36"/>
        <v>1</v>
      </c>
    </row>
    <row r="153" spans="1:7" x14ac:dyDescent="0.25">
      <c r="A153" s="173" t="s">
        <v>358</v>
      </c>
      <c r="B153" s="192"/>
      <c r="C153" s="192">
        <v>5429</v>
      </c>
      <c r="D153" s="213">
        <f t="shared" si="39"/>
        <v>0</v>
      </c>
      <c r="E153" s="212">
        <v>1781782</v>
      </c>
      <c r="F153" s="214">
        <f t="shared" si="35"/>
        <v>0</v>
      </c>
      <c r="G153" s="215">
        <f t="shared" si="36"/>
        <v>1</v>
      </c>
    </row>
    <row r="154" spans="1:7" x14ac:dyDescent="0.25">
      <c r="A154" s="173" t="s">
        <v>359</v>
      </c>
      <c r="B154" s="192"/>
      <c r="C154" s="192">
        <v>1188</v>
      </c>
      <c r="D154" s="213">
        <f t="shared" si="39"/>
        <v>0</v>
      </c>
      <c r="E154" s="212">
        <v>1781782</v>
      </c>
      <c r="F154" s="214">
        <f t="shared" si="35"/>
        <v>0</v>
      </c>
      <c r="G154" s="215">
        <f t="shared" si="36"/>
        <v>1</v>
      </c>
    </row>
    <row r="155" spans="1:7" x14ac:dyDescent="0.25">
      <c r="A155" s="210" t="s">
        <v>360</v>
      </c>
      <c r="B155" s="192">
        <f>SUM(B156:B158)</f>
        <v>209</v>
      </c>
      <c r="C155" s="192">
        <f>SUM(C156:C158)</f>
        <v>3798</v>
      </c>
      <c r="D155" s="213">
        <f t="shared" si="39"/>
        <v>5.5E-2</v>
      </c>
      <c r="E155" s="212">
        <v>1781782</v>
      </c>
      <c r="F155" s="214">
        <f t="shared" si="35"/>
        <v>1.1729829999999999E-4</v>
      </c>
      <c r="G155" s="215">
        <f t="shared" si="36"/>
        <v>1.0549999999999999</v>
      </c>
    </row>
    <row r="156" spans="1:7" x14ac:dyDescent="0.25">
      <c r="A156" s="205" t="s">
        <v>361</v>
      </c>
      <c r="B156" s="198"/>
      <c r="C156" s="198">
        <v>3589</v>
      </c>
      <c r="D156" s="193"/>
      <c r="E156" s="194"/>
      <c r="F156" s="195"/>
      <c r="G156" s="196"/>
    </row>
    <row r="157" spans="1:7" x14ac:dyDescent="0.25">
      <c r="A157" s="205" t="s">
        <v>362</v>
      </c>
      <c r="B157" s="198">
        <f t="shared" ref="B157:B161" si="40">C157</f>
        <v>48</v>
      </c>
      <c r="C157" s="198">
        <v>48</v>
      </c>
      <c r="D157" s="193"/>
      <c r="E157" s="194"/>
      <c r="F157" s="195"/>
      <c r="G157" s="196"/>
    </row>
    <row r="158" spans="1:7" x14ac:dyDescent="0.25">
      <c r="A158" s="205" t="s">
        <v>363</v>
      </c>
      <c r="B158" s="198">
        <f t="shared" si="40"/>
        <v>161</v>
      </c>
      <c r="C158" s="198">
        <v>161</v>
      </c>
      <c r="D158" s="193"/>
      <c r="E158" s="194"/>
      <c r="F158" s="195"/>
      <c r="G158" s="196"/>
    </row>
    <row r="159" spans="1:7" x14ac:dyDescent="0.25">
      <c r="A159" s="210" t="s">
        <v>364</v>
      </c>
      <c r="B159" s="192">
        <f>SUM(B160:B161)</f>
        <v>637</v>
      </c>
      <c r="C159" s="192">
        <f>SUM(C160:C161)</f>
        <v>637</v>
      </c>
      <c r="D159" s="213">
        <f t="shared" si="39"/>
        <v>1</v>
      </c>
      <c r="E159" s="212">
        <v>1781782</v>
      </c>
      <c r="F159" s="214">
        <f t="shared" si="35"/>
        <v>3.5750726000000001E-4</v>
      </c>
      <c r="G159" s="215">
        <f t="shared" si="36"/>
        <v>1.9990000000000001</v>
      </c>
    </row>
    <row r="160" spans="1:7" x14ac:dyDescent="0.25">
      <c r="A160" s="205" t="s">
        <v>365</v>
      </c>
      <c r="B160" s="198">
        <f t="shared" si="40"/>
        <v>339</v>
      </c>
      <c r="C160" s="198">
        <v>339</v>
      </c>
      <c r="D160" s="193"/>
      <c r="E160" s="194"/>
      <c r="F160" s="195"/>
      <c r="G160" s="196"/>
    </row>
    <row r="161" spans="1:7" x14ac:dyDescent="0.25">
      <c r="A161" s="205" t="s">
        <v>366</v>
      </c>
      <c r="B161" s="198">
        <f t="shared" si="40"/>
        <v>298</v>
      </c>
      <c r="C161" s="198">
        <v>298</v>
      </c>
      <c r="D161" s="193"/>
      <c r="E161" s="194"/>
      <c r="F161" s="195"/>
      <c r="G161" s="196"/>
    </row>
    <row r="162" spans="1:7" x14ac:dyDescent="0.25">
      <c r="A162" s="210" t="s">
        <v>367</v>
      </c>
      <c r="B162" s="192"/>
      <c r="C162" s="192">
        <v>1987</v>
      </c>
      <c r="D162" s="213">
        <f t="shared" si="39"/>
        <v>0</v>
      </c>
      <c r="E162" s="212">
        <v>1781782</v>
      </c>
      <c r="F162" s="214">
        <f t="shared" si="35"/>
        <v>0</v>
      </c>
      <c r="G162" s="215">
        <f t="shared" si="36"/>
        <v>1</v>
      </c>
    </row>
    <row r="163" spans="1:7" x14ac:dyDescent="0.25">
      <c r="A163" s="211" t="s">
        <v>108</v>
      </c>
      <c r="B163" s="212">
        <f>B164+B165+B166+B167+B168+B171+B172+B173</f>
        <v>0</v>
      </c>
      <c r="C163" s="212">
        <f>C164+C165+C166+C167+C168+C171+C172+C173</f>
        <v>46803</v>
      </c>
      <c r="D163" s="213">
        <f t="shared" si="33"/>
        <v>0</v>
      </c>
      <c r="E163" s="212">
        <v>1781782</v>
      </c>
      <c r="F163" s="214">
        <f t="shared" si="34"/>
        <v>0</v>
      </c>
      <c r="G163" s="215">
        <f t="shared" ref="G163:G174" si="41">(D163+1)/(F163+1)</f>
        <v>1</v>
      </c>
    </row>
    <row r="164" spans="1:7" x14ac:dyDescent="0.25">
      <c r="A164" s="173" t="s">
        <v>368</v>
      </c>
      <c r="B164" s="192"/>
      <c r="C164" s="192">
        <v>1532</v>
      </c>
      <c r="D164" s="213">
        <f t="shared" ref="D164:D173" si="42">B164/C164</f>
        <v>0</v>
      </c>
      <c r="E164" s="212">
        <v>1781782</v>
      </c>
      <c r="F164" s="214">
        <f t="shared" si="34"/>
        <v>0</v>
      </c>
      <c r="G164" s="215">
        <f t="shared" si="41"/>
        <v>1</v>
      </c>
    </row>
    <row r="165" spans="1:7" x14ac:dyDescent="0.25">
      <c r="A165" s="173" t="s">
        <v>369</v>
      </c>
      <c r="B165" s="192"/>
      <c r="C165" s="192">
        <v>2169</v>
      </c>
      <c r="D165" s="213">
        <f t="shared" si="42"/>
        <v>0</v>
      </c>
      <c r="E165" s="212">
        <v>1781782</v>
      </c>
      <c r="F165" s="214">
        <f t="shared" si="34"/>
        <v>0</v>
      </c>
      <c r="G165" s="215">
        <f t="shared" si="41"/>
        <v>1</v>
      </c>
    </row>
    <row r="166" spans="1:7" x14ac:dyDescent="0.25">
      <c r="A166" s="173" t="s">
        <v>370</v>
      </c>
      <c r="B166" s="192"/>
      <c r="C166" s="192">
        <v>1677</v>
      </c>
      <c r="D166" s="213">
        <f t="shared" si="42"/>
        <v>0</v>
      </c>
      <c r="E166" s="212">
        <v>1781782</v>
      </c>
      <c r="F166" s="214">
        <f t="shared" si="34"/>
        <v>0</v>
      </c>
      <c r="G166" s="215">
        <f t="shared" si="41"/>
        <v>1</v>
      </c>
    </row>
    <row r="167" spans="1:7" x14ac:dyDescent="0.25">
      <c r="A167" s="173" t="s">
        <v>371</v>
      </c>
      <c r="B167" s="192"/>
      <c r="C167" s="192">
        <v>1411</v>
      </c>
      <c r="D167" s="213">
        <f t="shared" si="42"/>
        <v>0</v>
      </c>
      <c r="E167" s="212">
        <v>1781782</v>
      </c>
      <c r="F167" s="214">
        <f t="shared" si="34"/>
        <v>0</v>
      </c>
      <c r="G167" s="215">
        <f t="shared" si="41"/>
        <v>1</v>
      </c>
    </row>
    <row r="168" spans="1:7" x14ac:dyDescent="0.25">
      <c r="A168" s="204" t="s">
        <v>372</v>
      </c>
      <c r="B168" s="192">
        <f>SUM(B169:B170)</f>
        <v>0</v>
      </c>
      <c r="C168" s="192">
        <f>SUM(C169:C170)</f>
        <v>2706</v>
      </c>
      <c r="D168" s="213">
        <f t="shared" si="42"/>
        <v>0</v>
      </c>
      <c r="E168" s="212">
        <v>1781782</v>
      </c>
      <c r="F168" s="214">
        <f t="shared" si="34"/>
        <v>0</v>
      </c>
      <c r="G168" s="215">
        <f t="shared" si="41"/>
        <v>1</v>
      </c>
    </row>
    <row r="169" spans="1:7" x14ac:dyDescent="0.25">
      <c r="A169" s="205" t="s">
        <v>373</v>
      </c>
      <c r="B169" s="192"/>
      <c r="C169" s="198">
        <v>2139</v>
      </c>
      <c r="D169" s="193"/>
      <c r="E169" s="194"/>
      <c r="F169" s="195"/>
      <c r="G169" s="196"/>
    </row>
    <row r="170" spans="1:7" x14ac:dyDescent="0.25">
      <c r="A170" s="205" t="s">
        <v>374</v>
      </c>
      <c r="B170" s="192"/>
      <c r="C170" s="198">
        <v>567</v>
      </c>
      <c r="D170" s="193"/>
      <c r="E170" s="194"/>
      <c r="F170" s="195"/>
      <c r="G170" s="196"/>
    </row>
    <row r="171" spans="1:7" x14ac:dyDescent="0.25">
      <c r="A171" s="173" t="s">
        <v>375</v>
      </c>
      <c r="B171" s="192"/>
      <c r="C171" s="192">
        <v>4058</v>
      </c>
      <c r="D171" s="213">
        <f t="shared" si="42"/>
        <v>0</v>
      </c>
      <c r="E171" s="212">
        <v>1781782</v>
      </c>
      <c r="F171" s="214">
        <f t="shared" ref="F171:F173" si="43">B171/E171</f>
        <v>0</v>
      </c>
      <c r="G171" s="215">
        <f t="shared" ref="G171:G173" si="44">(D171+1)/(F171+1)</f>
        <v>1</v>
      </c>
    </row>
    <row r="172" spans="1:7" x14ac:dyDescent="0.25">
      <c r="A172" s="173" t="s">
        <v>376</v>
      </c>
      <c r="B172" s="192"/>
      <c r="C172" s="192">
        <v>1563</v>
      </c>
      <c r="D172" s="213">
        <f t="shared" si="42"/>
        <v>0</v>
      </c>
      <c r="E172" s="212">
        <v>1781782</v>
      </c>
      <c r="F172" s="214">
        <f t="shared" si="43"/>
        <v>0</v>
      </c>
      <c r="G172" s="215">
        <f t="shared" si="44"/>
        <v>1</v>
      </c>
    </row>
    <row r="173" spans="1:7" x14ac:dyDescent="0.25">
      <c r="A173" s="206" t="s">
        <v>377</v>
      </c>
      <c r="B173" s="192"/>
      <c r="C173" s="192">
        <v>31687</v>
      </c>
      <c r="D173" s="213">
        <f t="shared" si="42"/>
        <v>0</v>
      </c>
      <c r="E173" s="212">
        <v>1781782</v>
      </c>
      <c r="F173" s="214">
        <f t="shared" si="43"/>
        <v>0</v>
      </c>
      <c r="G173" s="215">
        <f t="shared" si="44"/>
        <v>1</v>
      </c>
    </row>
    <row r="174" spans="1:7" x14ac:dyDescent="0.25">
      <c r="A174" s="211" t="s">
        <v>116</v>
      </c>
      <c r="B174" s="212">
        <f>B175+B176+B177+B180+B181+B182+B183+B186+B189+B195+B198+B199+B202+B205</f>
        <v>1487</v>
      </c>
      <c r="C174" s="212">
        <f>C175+C176+C177+C180+C181+C182+C183+C186+C189+C195+C198+C199+C202+C205</f>
        <v>131189</v>
      </c>
      <c r="D174" s="213">
        <f t="shared" si="33"/>
        <v>1.1299999999999999E-2</v>
      </c>
      <c r="E174" s="212">
        <v>1781782</v>
      </c>
      <c r="F174" s="214">
        <f t="shared" si="34"/>
        <v>8.3455775999999998E-4</v>
      </c>
      <c r="G174" s="215">
        <f t="shared" si="41"/>
        <v>1.01</v>
      </c>
    </row>
    <row r="175" spans="1:7" x14ac:dyDescent="0.25">
      <c r="A175" s="173" t="s">
        <v>378</v>
      </c>
      <c r="B175" s="192"/>
      <c r="C175" s="192">
        <v>6374</v>
      </c>
      <c r="D175" s="213">
        <f t="shared" ref="D175:D238" si="45">B175/C175</f>
        <v>0</v>
      </c>
      <c r="E175" s="212">
        <v>1781782</v>
      </c>
      <c r="F175" s="214">
        <f t="shared" ref="F175:F238" si="46">B175/E175</f>
        <v>0</v>
      </c>
      <c r="G175" s="215">
        <f t="shared" ref="G175:G238" si="47">(D175+1)/(F175+1)</f>
        <v>1</v>
      </c>
    </row>
    <row r="176" spans="1:7" x14ac:dyDescent="0.25">
      <c r="A176" s="173" t="s">
        <v>379</v>
      </c>
      <c r="B176" s="192"/>
      <c r="C176" s="192">
        <v>18385</v>
      </c>
      <c r="D176" s="213">
        <f t="shared" si="45"/>
        <v>0</v>
      </c>
      <c r="E176" s="212">
        <v>1781782</v>
      </c>
      <c r="F176" s="214">
        <f t="shared" si="46"/>
        <v>0</v>
      </c>
      <c r="G176" s="215">
        <f t="shared" si="47"/>
        <v>1</v>
      </c>
    </row>
    <row r="177" spans="1:7" x14ac:dyDescent="0.25">
      <c r="A177" s="173" t="s">
        <v>380</v>
      </c>
      <c r="B177" s="192">
        <f>SUM(B178:B179)</f>
        <v>97</v>
      </c>
      <c r="C177" s="192">
        <f>SUM(C178:C179)</f>
        <v>1070</v>
      </c>
      <c r="D177" s="213">
        <f t="shared" si="45"/>
        <v>9.0700000000000003E-2</v>
      </c>
      <c r="E177" s="212">
        <v>1781782</v>
      </c>
      <c r="F177" s="214">
        <f t="shared" si="46"/>
        <v>5.4439879999999999E-5</v>
      </c>
      <c r="G177" s="215">
        <f t="shared" si="47"/>
        <v>1.091</v>
      </c>
    </row>
    <row r="178" spans="1:7" x14ac:dyDescent="0.25">
      <c r="A178" s="197" t="s">
        <v>381</v>
      </c>
      <c r="B178" s="198"/>
      <c r="C178" s="198">
        <v>973</v>
      </c>
      <c r="D178" s="193"/>
      <c r="E178" s="194"/>
      <c r="F178" s="195"/>
      <c r="G178" s="196"/>
    </row>
    <row r="179" spans="1:7" x14ac:dyDescent="0.25">
      <c r="A179" s="197" t="s">
        <v>382</v>
      </c>
      <c r="B179" s="198">
        <f>C179</f>
        <v>97</v>
      </c>
      <c r="C179" s="198">
        <v>97</v>
      </c>
      <c r="D179" s="193"/>
      <c r="E179" s="194"/>
      <c r="F179" s="195"/>
      <c r="G179" s="196"/>
    </row>
    <row r="180" spans="1:7" x14ac:dyDescent="0.25">
      <c r="A180" s="173" t="s">
        <v>383</v>
      </c>
      <c r="B180" s="192"/>
      <c r="C180" s="192">
        <v>42530</v>
      </c>
      <c r="D180" s="213">
        <f t="shared" si="45"/>
        <v>0</v>
      </c>
      <c r="E180" s="212">
        <v>1781782</v>
      </c>
      <c r="F180" s="214">
        <f t="shared" si="46"/>
        <v>0</v>
      </c>
      <c r="G180" s="215">
        <f t="shared" si="47"/>
        <v>1</v>
      </c>
    </row>
    <row r="181" spans="1:7" x14ac:dyDescent="0.25">
      <c r="A181" s="173" t="s">
        <v>384</v>
      </c>
      <c r="B181" s="192"/>
      <c r="C181" s="192">
        <v>13905</v>
      </c>
      <c r="D181" s="213">
        <f t="shared" si="45"/>
        <v>0</v>
      </c>
      <c r="E181" s="212">
        <v>1781782</v>
      </c>
      <c r="F181" s="214">
        <f t="shared" si="46"/>
        <v>0</v>
      </c>
      <c r="G181" s="215">
        <f t="shared" si="47"/>
        <v>1</v>
      </c>
    </row>
    <row r="182" spans="1:7" x14ac:dyDescent="0.25">
      <c r="A182" s="173" t="s">
        <v>385</v>
      </c>
      <c r="B182" s="192"/>
      <c r="C182" s="192">
        <v>1904</v>
      </c>
      <c r="D182" s="213">
        <f t="shared" si="45"/>
        <v>0</v>
      </c>
      <c r="E182" s="212">
        <v>1781782</v>
      </c>
      <c r="F182" s="214">
        <f t="shared" si="46"/>
        <v>0</v>
      </c>
      <c r="G182" s="215">
        <f t="shared" si="47"/>
        <v>1</v>
      </c>
    </row>
    <row r="183" spans="1:7" x14ac:dyDescent="0.25">
      <c r="A183" s="173" t="s">
        <v>386</v>
      </c>
      <c r="B183" s="192">
        <f>SUM(B184:B185)</f>
        <v>0</v>
      </c>
      <c r="C183" s="192">
        <f>SUM(C184:C185)</f>
        <v>14337</v>
      </c>
      <c r="D183" s="213">
        <f t="shared" si="45"/>
        <v>0</v>
      </c>
      <c r="E183" s="212">
        <v>1781782</v>
      </c>
      <c r="F183" s="214">
        <f t="shared" si="46"/>
        <v>0</v>
      </c>
      <c r="G183" s="215">
        <f t="shared" si="47"/>
        <v>1</v>
      </c>
    </row>
    <row r="184" spans="1:7" x14ac:dyDescent="0.25">
      <c r="A184" s="197" t="s">
        <v>387</v>
      </c>
      <c r="B184" s="198"/>
      <c r="C184" s="198">
        <v>13233</v>
      </c>
      <c r="D184" s="193"/>
      <c r="E184" s="194"/>
      <c r="F184" s="195"/>
      <c r="G184" s="196"/>
    </row>
    <row r="185" spans="1:7" x14ac:dyDescent="0.25">
      <c r="A185" s="197" t="s">
        <v>388</v>
      </c>
      <c r="B185" s="198"/>
      <c r="C185" s="198">
        <v>1104</v>
      </c>
      <c r="D185" s="193"/>
      <c r="E185" s="194"/>
      <c r="F185" s="195"/>
      <c r="G185" s="196"/>
    </row>
    <row r="186" spans="1:7" x14ac:dyDescent="0.25">
      <c r="A186" s="173" t="s">
        <v>389</v>
      </c>
      <c r="B186" s="192">
        <f>SUM(B187:B188)</f>
        <v>47</v>
      </c>
      <c r="C186" s="192">
        <f>SUM(C187:C188)</f>
        <v>1317</v>
      </c>
      <c r="D186" s="213">
        <f t="shared" si="45"/>
        <v>3.5700000000000003E-2</v>
      </c>
      <c r="E186" s="212">
        <v>1781782</v>
      </c>
      <c r="F186" s="214">
        <f t="shared" si="46"/>
        <v>2.637809E-5</v>
      </c>
      <c r="G186" s="215">
        <f t="shared" si="47"/>
        <v>1.036</v>
      </c>
    </row>
    <row r="187" spans="1:7" x14ac:dyDescent="0.25">
      <c r="A187" s="217" t="s">
        <v>390</v>
      </c>
      <c r="B187" s="198"/>
      <c r="C187" s="198">
        <v>1270</v>
      </c>
      <c r="D187" s="193"/>
      <c r="E187" s="194"/>
      <c r="F187" s="195"/>
      <c r="G187" s="196"/>
    </row>
    <row r="188" spans="1:7" x14ac:dyDescent="0.25">
      <c r="A188" s="217" t="s">
        <v>391</v>
      </c>
      <c r="B188" s="198">
        <f>C188</f>
        <v>47</v>
      </c>
      <c r="C188" s="198">
        <v>47</v>
      </c>
      <c r="D188" s="193"/>
      <c r="E188" s="194"/>
      <c r="F188" s="195"/>
      <c r="G188" s="196"/>
    </row>
    <row r="189" spans="1:7" x14ac:dyDescent="0.25">
      <c r="A189" s="204" t="s">
        <v>392</v>
      </c>
      <c r="B189" s="192">
        <f>SUM(B190:B194)</f>
        <v>442</v>
      </c>
      <c r="C189" s="192">
        <f>SUM(C190:C194)</f>
        <v>2820</v>
      </c>
      <c r="D189" s="213">
        <f t="shared" si="45"/>
        <v>0.15670000000000001</v>
      </c>
      <c r="E189" s="212">
        <v>1781782</v>
      </c>
      <c r="F189" s="214">
        <f t="shared" si="46"/>
        <v>2.4806626000000001E-4</v>
      </c>
      <c r="G189" s="215">
        <f t="shared" si="47"/>
        <v>1.1559999999999999</v>
      </c>
    </row>
    <row r="190" spans="1:7" x14ac:dyDescent="0.25">
      <c r="A190" s="205" t="s">
        <v>393</v>
      </c>
      <c r="B190" s="198"/>
      <c r="C190" s="198">
        <v>2378</v>
      </c>
      <c r="D190" s="193"/>
      <c r="E190" s="194"/>
      <c r="F190" s="195"/>
      <c r="G190" s="196"/>
    </row>
    <row r="191" spans="1:7" x14ac:dyDescent="0.25">
      <c r="A191" s="205" t="s">
        <v>394</v>
      </c>
      <c r="B191" s="198"/>
      <c r="C191" s="198">
        <v>0</v>
      </c>
      <c r="D191" s="193"/>
      <c r="E191" s="194"/>
      <c r="F191" s="195"/>
      <c r="G191" s="196"/>
    </row>
    <row r="192" spans="1:7" x14ac:dyDescent="0.25">
      <c r="A192" s="205" t="s">
        <v>395</v>
      </c>
      <c r="B192" s="198">
        <f t="shared" ref="B192:B194" si="48">C192</f>
        <v>211</v>
      </c>
      <c r="C192" s="198">
        <v>211</v>
      </c>
      <c r="D192" s="193"/>
      <c r="E192" s="194"/>
      <c r="F192" s="195"/>
      <c r="G192" s="196"/>
    </row>
    <row r="193" spans="1:7" x14ac:dyDescent="0.25">
      <c r="A193" s="205" t="s">
        <v>396</v>
      </c>
      <c r="B193" s="198">
        <f t="shared" si="48"/>
        <v>129</v>
      </c>
      <c r="C193" s="198">
        <v>129</v>
      </c>
      <c r="D193" s="193"/>
      <c r="E193" s="194"/>
      <c r="F193" s="195"/>
      <c r="G193" s="196"/>
    </row>
    <row r="194" spans="1:7" x14ac:dyDescent="0.25">
      <c r="A194" s="205" t="s">
        <v>397</v>
      </c>
      <c r="B194" s="198">
        <f t="shared" si="48"/>
        <v>102</v>
      </c>
      <c r="C194" s="198">
        <v>102</v>
      </c>
      <c r="D194" s="193"/>
      <c r="E194" s="194"/>
      <c r="F194" s="195"/>
      <c r="G194" s="196"/>
    </row>
    <row r="195" spans="1:7" x14ac:dyDescent="0.25">
      <c r="A195" s="173" t="s">
        <v>398</v>
      </c>
      <c r="B195" s="192">
        <f>SUM(B196:B197)</f>
        <v>252</v>
      </c>
      <c r="C195" s="192">
        <f>SUM(C196:C197)</f>
        <v>2435</v>
      </c>
      <c r="D195" s="213">
        <f t="shared" si="45"/>
        <v>0.10349999999999999</v>
      </c>
      <c r="E195" s="212">
        <v>1781782</v>
      </c>
      <c r="F195" s="214">
        <f t="shared" si="46"/>
        <v>1.4143144E-4</v>
      </c>
      <c r="G195" s="215">
        <f t="shared" si="47"/>
        <v>1.103</v>
      </c>
    </row>
    <row r="196" spans="1:7" x14ac:dyDescent="0.25">
      <c r="A196" s="197" t="s">
        <v>399</v>
      </c>
      <c r="B196" s="198"/>
      <c r="C196" s="198">
        <v>2183</v>
      </c>
      <c r="D196" s="193"/>
      <c r="E196" s="194"/>
      <c r="F196" s="195"/>
      <c r="G196" s="196"/>
    </row>
    <row r="197" spans="1:7" x14ac:dyDescent="0.25">
      <c r="A197" s="197" t="s">
        <v>400</v>
      </c>
      <c r="B197" s="198">
        <f>C197</f>
        <v>252</v>
      </c>
      <c r="C197" s="198">
        <v>252</v>
      </c>
      <c r="D197" s="193"/>
      <c r="E197" s="194"/>
      <c r="F197" s="195"/>
      <c r="G197" s="196"/>
    </row>
    <row r="198" spans="1:7" x14ac:dyDescent="0.25">
      <c r="A198" s="173" t="s">
        <v>401</v>
      </c>
      <c r="B198" s="192"/>
      <c r="C198" s="192">
        <v>24466</v>
      </c>
      <c r="D198" s="213">
        <f t="shared" si="45"/>
        <v>0</v>
      </c>
      <c r="E198" s="212">
        <v>1781782</v>
      </c>
      <c r="F198" s="214">
        <f t="shared" si="46"/>
        <v>0</v>
      </c>
      <c r="G198" s="215">
        <f t="shared" si="47"/>
        <v>1</v>
      </c>
    </row>
    <row r="199" spans="1:7" x14ac:dyDescent="0.25">
      <c r="A199" s="206" t="s">
        <v>402</v>
      </c>
      <c r="B199" s="192">
        <f>SUM(B200:B201)</f>
        <v>25</v>
      </c>
      <c r="C199" s="192">
        <f>SUM(C200:C201)</f>
        <v>1022</v>
      </c>
      <c r="D199" s="193"/>
      <c r="E199" s="194"/>
      <c r="F199" s="195"/>
      <c r="G199" s="196"/>
    </row>
    <row r="200" spans="1:7" x14ac:dyDescent="0.25">
      <c r="A200" s="197" t="s">
        <v>403</v>
      </c>
      <c r="B200" s="198"/>
      <c r="C200" s="198">
        <v>997</v>
      </c>
      <c r="D200" s="193"/>
      <c r="E200" s="194"/>
      <c r="F200" s="195"/>
      <c r="G200" s="196"/>
    </row>
    <row r="201" spans="1:7" x14ac:dyDescent="0.25">
      <c r="A201" s="197" t="s">
        <v>404</v>
      </c>
      <c r="B201" s="198">
        <f>C201</f>
        <v>25</v>
      </c>
      <c r="C201" s="198">
        <v>25</v>
      </c>
      <c r="D201" s="193"/>
      <c r="E201" s="194"/>
      <c r="F201" s="195"/>
      <c r="G201" s="196"/>
    </row>
    <row r="202" spans="1:7" x14ac:dyDescent="0.25">
      <c r="A202" s="206" t="s">
        <v>405</v>
      </c>
      <c r="B202" s="192">
        <f>SUM(B203:B204)</f>
        <v>507</v>
      </c>
      <c r="C202" s="192">
        <f>SUM(C203:C204)</f>
        <v>507</v>
      </c>
      <c r="D202" s="213">
        <f t="shared" si="45"/>
        <v>1</v>
      </c>
      <c r="E202" s="212">
        <v>1781782</v>
      </c>
      <c r="F202" s="214">
        <f t="shared" si="46"/>
        <v>2.8454659000000002E-4</v>
      </c>
      <c r="G202" s="215">
        <f t="shared" si="47"/>
        <v>1.9990000000000001</v>
      </c>
    </row>
    <row r="203" spans="1:7" x14ac:dyDescent="0.25">
      <c r="A203" s="197" t="s">
        <v>406</v>
      </c>
      <c r="B203" s="198">
        <f t="shared" ref="B203:B205" si="49">C203</f>
        <v>127</v>
      </c>
      <c r="C203" s="198">
        <v>127</v>
      </c>
      <c r="D203" s="193"/>
      <c r="E203" s="194"/>
      <c r="F203" s="195"/>
      <c r="G203" s="196"/>
    </row>
    <row r="204" spans="1:7" x14ac:dyDescent="0.25">
      <c r="A204" s="197" t="s">
        <v>407</v>
      </c>
      <c r="B204" s="198">
        <f t="shared" si="49"/>
        <v>380</v>
      </c>
      <c r="C204" s="198">
        <v>380</v>
      </c>
      <c r="D204" s="193"/>
      <c r="E204" s="194"/>
      <c r="F204" s="195"/>
      <c r="G204" s="196"/>
    </row>
    <row r="205" spans="1:7" x14ac:dyDescent="0.25">
      <c r="A205" s="206" t="s">
        <v>408</v>
      </c>
      <c r="B205" s="192">
        <f t="shared" si="49"/>
        <v>117</v>
      </c>
      <c r="C205" s="192">
        <v>117</v>
      </c>
      <c r="D205" s="207"/>
      <c r="E205" s="194"/>
      <c r="F205" s="208"/>
      <c r="G205" s="209"/>
    </row>
    <row r="206" spans="1:7" x14ac:dyDescent="0.25">
      <c r="A206" s="211" t="s">
        <v>129</v>
      </c>
      <c r="B206" s="212">
        <f>B207+B210+B214+B217+B223+B227+B228+B232+B236+B237+B238+B241+B244</f>
        <v>3167</v>
      </c>
      <c r="C206" s="212">
        <f>C207+C210+C214+C217+C223+C227+C228+C232+C236+C237+C238+C241+C244</f>
        <v>19140</v>
      </c>
      <c r="D206" s="213">
        <f t="shared" si="45"/>
        <v>0.16550000000000001</v>
      </c>
      <c r="E206" s="212">
        <v>1781782</v>
      </c>
      <c r="F206" s="214">
        <f t="shared" si="46"/>
        <v>1.7774340500000001E-3</v>
      </c>
      <c r="G206" s="215">
        <f t="shared" si="47"/>
        <v>1.163</v>
      </c>
    </row>
    <row r="207" spans="1:7" x14ac:dyDescent="0.25">
      <c r="A207" s="173" t="s">
        <v>409</v>
      </c>
      <c r="B207" s="192">
        <f>SUM(B208:B209)</f>
        <v>487</v>
      </c>
      <c r="C207" s="192">
        <f>SUM(C208:C209)</f>
        <v>1213</v>
      </c>
      <c r="D207" s="213">
        <f t="shared" si="45"/>
        <v>0.40150000000000002</v>
      </c>
      <c r="E207" s="212">
        <v>1781782</v>
      </c>
      <c r="F207" s="214">
        <f t="shared" si="46"/>
        <v>2.7332187999999999E-4</v>
      </c>
      <c r="G207" s="215">
        <f t="shared" si="47"/>
        <v>1.401</v>
      </c>
    </row>
    <row r="208" spans="1:7" x14ac:dyDescent="0.25">
      <c r="A208" s="197" t="s">
        <v>410</v>
      </c>
      <c r="B208" s="198"/>
      <c r="C208" s="198">
        <v>726</v>
      </c>
      <c r="D208" s="193"/>
      <c r="E208" s="194"/>
      <c r="F208" s="195"/>
      <c r="G208" s="196"/>
    </row>
    <row r="209" spans="1:7" x14ac:dyDescent="0.25">
      <c r="A209" s="197" t="s">
        <v>411</v>
      </c>
      <c r="B209" s="198">
        <f>C209</f>
        <v>487</v>
      </c>
      <c r="C209" s="198">
        <v>487</v>
      </c>
      <c r="D209" s="193"/>
      <c r="E209" s="194"/>
      <c r="F209" s="195"/>
      <c r="G209" s="196"/>
    </row>
    <row r="210" spans="1:7" x14ac:dyDescent="0.25">
      <c r="A210" s="204" t="s">
        <v>412</v>
      </c>
      <c r="B210" s="192">
        <f>SUM(B211:B213)</f>
        <v>378</v>
      </c>
      <c r="C210" s="192">
        <f>SUM(C211:C213)</f>
        <v>5125</v>
      </c>
      <c r="D210" s="213">
        <f t="shared" si="45"/>
        <v>7.3800000000000004E-2</v>
      </c>
      <c r="E210" s="212">
        <v>1781782</v>
      </c>
      <c r="F210" s="214">
        <f t="shared" si="46"/>
        <v>2.1214717000000001E-4</v>
      </c>
      <c r="G210" s="215">
        <f t="shared" si="47"/>
        <v>1.0740000000000001</v>
      </c>
    </row>
    <row r="211" spans="1:7" x14ac:dyDescent="0.25">
      <c r="A211" s="205" t="s">
        <v>413</v>
      </c>
      <c r="B211" s="198"/>
      <c r="C211" s="198">
        <v>4747</v>
      </c>
      <c r="D211" s="193"/>
      <c r="E211" s="194"/>
      <c r="F211" s="195"/>
      <c r="G211" s="196"/>
    </row>
    <row r="212" spans="1:7" x14ac:dyDescent="0.25">
      <c r="A212" s="205" t="s">
        <v>414</v>
      </c>
      <c r="B212" s="198">
        <f t="shared" ref="B212:B213" si="50">C212</f>
        <v>342</v>
      </c>
      <c r="C212" s="198">
        <v>342</v>
      </c>
      <c r="D212" s="193"/>
      <c r="E212" s="194"/>
      <c r="F212" s="195"/>
      <c r="G212" s="196"/>
    </row>
    <row r="213" spans="1:7" x14ac:dyDescent="0.25">
      <c r="A213" s="205" t="s">
        <v>415</v>
      </c>
      <c r="B213" s="198">
        <f t="shared" si="50"/>
        <v>36</v>
      </c>
      <c r="C213" s="198">
        <v>36</v>
      </c>
      <c r="D213" s="193"/>
      <c r="E213" s="194"/>
      <c r="F213" s="195"/>
      <c r="G213" s="196"/>
    </row>
    <row r="214" spans="1:7" x14ac:dyDescent="0.25">
      <c r="A214" s="204" t="s">
        <v>416</v>
      </c>
      <c r="B214" s="192">
        <f>SUM(B215:B216)</f>
        <v>233</v>
      </c>
      <c r="C214" s="192">
        <f>SUM(C215:C216)</f>
        <v>824</v>
      </c>
      <c r="D214" s="213">
        <f t="shared" si="45"/>
        <v>0.2828</v>
      </c>
      <c r="E214" s="212">
        <v>1781782</v>
      </c>
      <c r="F214" s="214">
        <f t="shared" si="46"/>
        <v>1.3076795999999999E-4</v>
      </c>
      <c r="G214" s="215">
        <f t="shared" si="47"/>
        <v>1.2829999999999999</v>
      </c>
    </row>
    <row r="215" spans="1:7" x14ac:dyDescent="0.25">
      <c r="A215" s="205" t="s">
        <v>417</v>
      </c>
      <c r="B215" s="198"/>
      <c r="C215" s="198">
        <v>591</v>
      </c>
      <c r="D215" s="193"/>
      <c r="E215" s="194"/>
      <c r="F215" s="195"/>
      <c r="G215" s="196"/>
    </row>
    <row r="216" spans="1:7" x14ac:dyDescent="0.25">
      <c r="A216" s="205" t="s">
        <v>418</v>
      </c>
      <c r="B216" s="198">
        <f>C216</f>
        <v>233</v>
      </c>
      <c r="C216" s="198">
        <v>233</v>
      </c>
      <c r="D216" s="193"/>
      <c r="E216" s="194"/>
      <c r="F216" s="195"/>
      <c r="G216" s="196"/>
    </row>
    <row r="217" spans="1:7" x14ac:dyDescent="0.25">
      <c r="A217" s="204" t="s">
        <v>419</v>
      </c>
      <c r="B217" s="192">
        <f>SUM(B218:B222)</f>
        <v>785</v>
      </c>
      <c r="C217" s="192">
        <f>SUM(C218:C222)</f>
        <v>2800</v>
      </c>
      <c r="D217" s="213">
        <f t="shared" si="45"/>
        <v>0.28039999999999998</v>
      </c>
      <c r="E217" s="212">
        <v>1781782</v>
      </c>
      <c r="F217" s="214">
        <f t="shared" si="46"/>
        <v>4.4057017000000002E-4</v>
      </c>
      <c r="G217" s="215">
        <f t="shared" si="47"/>
        <v>1.28</v>
      </c>
    </row>
    <row r="218" spans="1:7" x14ac:dyDescent="0.25">
      <c r="A218" s="205" t="s">
        <v>420</v>
      </c>
      <c r="B218" s="198"/>
      <c r="C218" s="198">
        <v>1505</v>
      </c>
      <c r="D218" s="193"/>
      <c r="E218" s="194"/>
      <c r="F218" s="195"/>
      <c r="G218" s="196"/>
    </row>
    <row r="219" spans="1:7" x14ac:dyDescent="0.25">
      <c r="A219" s="205" t="s">
        <v>421</v>
      </c>
      <c r="B219" s="198">
        <f>C219</f>
        <v>276</v>
      </c>
      <c r="C219" s="198">
        <v>276</v>
      </c>
      <c r="D219" s="193"/>
      <c r="E219" s="194"/>
      <c r="F219" s="195"/>
      <c r="G219" s="196"/>
    </row>
    <row r="220" spans="1:7" x14ac:dyDescent="0.25">
      <c r="A220" s="205" t="s">
        <v>422</v>
      </c>
      <c r="B220" s="198"/>
      <c r="C220" s="198">
        <v>510</v>
      </c>
      <c r="D220" s="193"/>
      <c r="E220" s="194"/>
      <c r="F220" s="195"/>
      <c r="G220" s="196"/>
    </row>
    <row r="221" spans="1:7" x14ac:dyDescent="0.25">
      <c r="A221" s="205" t="s">
        <v>423</v>
      </c>
      <c r="B221" s="198">
        <f t="shared" ref="B221:B222" si="51">C221</f>
        <v>301</v>
      </c>
      <c r="C221" s="198">
        <v>301</v>
      </c>
      <c r="D221" s="193"/>
      <c r="E221" s="194"/>
      <c r="F221" s="195"/>
      <c r="G221" s="196"/>
    </row>
    <row r="222" spans="1:7" x14ac:dyDescent="0.25">
      <c r="A222" s="205" t="s">
        <v>424</v>
      </c>
      <c r="B222" s="198">
        <f t="shared" si="51"/>
        <v>208</v>
      </c>
      <c r="C222" s="198">
        <v>208</v>
      </c>
      <c r="D222" s="193"/>
      <c r="E222" s="194"/>
      <c r="F222" s="195"/>
      <c r="G222" s="196"/>
    </row>
    <row r="223" spans="1:7" x14ac:dyDescent="0.25">
      <c r="A223" s="204" t="s">
        <v>425</v>
      </c>
      <c r="B223" s="192">
        <f>SUM(B224:B226)</f>
        <v>267</v>
      </c>
      <c r="C223" s="192">
        <v>901</v>
      </c>
      <c r="D223" s="213">
        <f t="shared" si="45"/>
        <v>0.29630000000000001</v>
      </c>
      <c r="E223" s="212">
        <v>1781782</v>
      </c>
      <c r="F223" s="214">
        <f t="shared" si="46"/>
        <v>1.4984998000000001E-4</v>
      </c>
      <c r="G223" s="215">
        <f t="shared" si="47"/>
        <v>1.296</v>
      </c>
    </row>
    <row r="224" spans="1:7" x14ac:dyDescent="0.25">
      <c r="A224" s="205" t="s">
        <v>426</v>
      </c>
      <c r="B224" s="198"/>
      <c r="C224" s="218">
        <v>655</v>
      </c>
      <c r="D224" s="207"/>
      <c r="E224" s="194"/>
      <c r="F224" s="208"/>
      <c r="G224" s="209"/>
    </row>
    <row r="225" spans="1:7" x14ac:dyDescent="0.25">
      <c r="A225" s="205" t="s">
        <v>427</v>
      </c>
      <c r="B225" s="198">
        <f t="shared" ref="B225:B226" si="52">C225</f>
        <v>68</v>
      </c>
      <c r="C225" s="218">
        <v>68</v>
      </c>
      <c r="D225" s="193"/>
      <c r="E225" s="194"/>
      <c r="F225" s="195"/>
      <c r="G225" s="196"/>
    </row>
    <row r="226" spans="1:7" x14ac:dyDescent="0.25">
      <c r="A226" s="205" t="s">
        <v>428</v>
      </c>
      <c r="B226" s="198">
        <f t="shared" si="52"/>
        <v>199</v>
      </c>
      <c r="C226" s="218">
        <v>199</v>
      </c>
      <c r="D226" s="193"/>
      <c r="E226" s="194"/>
      <c r="F226" s="195"/>
      <c r="G226" s="196"/>
    </row>
    <row r="227" spans="1:7" x14ac:dyDescent="0.25">
      <c r="A227" s="173" t="s">
        <v>429</v>
      </c>
      <c r="B227" s="192"/>
      <c r="C227" s="192">
        <v>1568</v>
      </c>
      <c r="D227" s="213">
        <f t="shared" si="45"/>
        <v>0</v>
      </c>
      <c r="E227" s="212">
        <v>1781782</v>
      </c>
      <c r="F227" s="214">
        <f t="shared" si="46"/>
        <v>0</v>
      </c>
      <c r="G227" s="215">
        <f t="shared" si="47"/>
        <v>1</v>
      </c>
    </row>
    <row r="228" spans="1:7" x14ac:dyDescent="0.25">
      <c r="A228" s="204" t="s">
        <v>430</v>
      </c>
      <c r="B228" s="192">
        <f>SUM(B230:B231)</f>
        <v>291</v>
      </c>
      <c r="C228" s="192">
        <f>SUM(C229:C231)</f>
        <v>1725</v>
      </c>
      <c r="D228" s="213">
        <f t="shared" si="45"/>
        <v>0.16869999999999999</v>
      </c>
      <c r="E228" s="212">
        <v>1781782</v>
      </c>
      <c r="F228" s="214">
        <f t="shared" si="46"/>
        <v>1.6331964E-4</v>
      </c>
      <c r="G228" s="215">
        <f t="shared" si="47"/>
        <v>1.169</v>
      </c>
    </row>
    <row r="229" spans="1:7" x14ac:dyDescent="0.25">
      <c r="A229" s="205" t="s">
        <v>431</v>
      </c>
      <c r="B229" s="198"/>
      <c r="C229" s="198">
        <v>877</v>
      </c>
      <c r="D229" s="193"/>
      <c r="E229" s="194"/>
      <c r="F229" s="195"/>
      <c r="G229" s="196"/>
    </row>
    <row r="230" spans="1:7" x14ac:dyDescent="0.25">
      <c r="A230" s="205" t="s">
        <v>432</v>
      </c>
      <c r="B230" s="198">
        <f>C230</f>
        <v>291</v>
      </c>
      <c r="C230" s="198">
        <v>291</v>
      </c>
      <c r="D230" s="193"/>
      <c r="E230" s="194"/>
      <c r="F230" s="195"/>
      <c r="G230" s="196"/>
    </row>
    <row r="231" spans="1:7" x14ac:dyDescent="0.25">
      <c r="A231" s="205" t="s">
        <v>433</v>
      </c>
      <c r="B231" s="198"/>
      <c r="C231" s="198">
        <v>557</v>
      </c>
      <c r="D231" s="193"/>
      <c r="E231" s="194"/>
      <c r="F231" s="195"/>
      <c r="G231" s="196"/>
    </row>
    <row r="232" spans="1:7" x14ac:dyDescent="0.25">
      <c r="A232" s="210" t="s">
        <v>434</v>
      </c>
      <c r="B232" s="192">
        <f>SUM(B233:B235)</f>
        <v>34</v>
      </c>
      <c r="C232" s="192">
        <f>SUM(C233:C235)</f>
        <v>1464</v>
      </c>
      <c r="D232" s="213">
        <f t="shared" si="45"/>
        <v>2.3199999999999998E-2</v>
      </c>
      <c r="E232" s="212">
        <v>1781782</v>
      </c>
      <c r="F232" s="214">
        <f t="shared" si="46"/>
        <v>1.9082019999999999E-5</v>
      </c>
      <c r="G232" s="215">
        <f t="shared" si="47"/>
        <v>1.0229999999999999</v>
      </c>
    </row>
    <row r="233" spans="1:7" x14ac:dyDescent="0.25">
      <c r="A233" s="205" t="s">
        <v>435</v>
      </c>
      <c r="B233" s="198"/>
      <c r="C233" s="198">
        <v>763</v>
      </c>
      <c r="D233" s="193"/>
      <c r="E233" s="194"/>
      <c r="F233" s="195"/>
      <c r="G233" s="196"/>
    </row>
    <row r="234" spans="1:7" x14ac:dyDescent="0.25">
      <c r="A234" s="205" t="s">
        <v>436</v>
      </c>
      <c r="B234" s="198"/>
      <c r="C234" s="198">
        <v>667</v>
      </c>
      <c r="D234" s="193"/>
      <c r="E234" s="194"/>
      <c r="F234" s="195"/>
      <c r="G234" s="196"/>
    </row>
    <row r="235" spans="1:7" x14ac:dyDescent="0.25">
      <c r="A235" s="205" t="s">
        <v>437</v>
      </c>
      <c r="B235" s="198">
        <f>C235</f>
        <v>34</v>
      </c>
      <c r="C235" s="198">
        <v>34</v>
      </c>
      <c r="D235" s="193"/>
      <c r="E235" s="194"/>
      <c r="F235" s="195"/>
      <c r="G235" s="196"/>
    </row>
    <row r="236" spans="1:7" x14ac:dyDescent="0.25">
      <c r="A236" s="206" t="s">
        <v>438</v>
      </c>
      <c r="B236" s="192"/>
      <c r="C236" s="192">
        <v>601</v>
      </c>
      <c r="D236" s="213">
        <f t="shared" si="45"/>
        <v>0</v>
      </c>
      <c r="E236" s="212">
        <v>1781782</v>
      </c>
      <c r="F236" s="214">
        <f t="shared" si="46"/>
        <v>0</v>
      </c>
      <c r="G236" s="215">
        <f t="shared" si="47"/>
        <v>1</v>
      </c>
    </row>
    <row r="237" spans="1:7" s="219" customFormat="1" x14ac:dyDescent="0.25">
      <c r="A237" s="206" t="s">
        <v>439</v>
      </c>
      <c r="B237" s="192">
        <v>295</v>
      </c>
      <c r="C237" s="192">
        <v>295</v>
      </c>
      <c r="D237" s="213">
        <f t="shared" si="45"/>
        <v>1</v>
      </c>
      <c r="E237" s="212">
        <v>1781782</v>
      </c>
      <c r="F237" s="214">
        <f t="shared" si="46"/>
        <v>1.6556458999999999E-4</v>
      </c>
      <c r="G237" s="215">
        <f t="shared" si="47"/>
        <v>2</v>
      </c>
    </row>
    <row r="238" spans="1:7" x14ac:dyDescent="0.25">
      <c r="A238" s="206" t="s">
        <v>440</v>
      </c>
      <c r="B238" s="192">
        <f>SUM(B239:B240)</f>
        <v>290</v>
      </c>
      <c r="C238" s="192">
        <f>SUM(C239:C240)</f>
        <v>1198</v>
      </c>
      <c r="D238" s="213">
        <f t="shared" si="45"/>
        <v>0.24210000000000001</v>
      </c>
      <c r="E238" s="212">
        <v>1781782</v>
      </c>
      <c r="F238" s="214">
        <f t="shared" si="46"/>
        <v>1.6275841E-4</v>
      </c>
      <c r="G238" s="215">
        <f t="shared" si="47"/>
        <v>1.242</v>
      </c>
    </row>
    <row r="239" spans="1:7" x14ac:dyDescent="0.25">
      <c r="A239" s="197" t="s">
        <v>441</v>
      </c>
      <c r="B239" s="198"/>
      <c r="C239" s="198">
        <v>908</v>
      </c>
      <c r="D239" s="193"/>
      <c r="E239" s="194"/>
      <c r="F239" s="195"/>
      <c r="G239" s="196"/>
    </row>
    <row r="240" spans="1:7" x14ac:dyDescent="0.25">
      <c r="A240" s="197" t="s">
        <v>442</v>
      </c>
      <c r="B240" s="198">
        <f>C240</f>
        <v>290</v>
      </c>
      <c r="C240" s="198">
        <v>290</v>
      </c>
      <c r="D240" s="193"/>
      <c r="E240" s="194"/>
      <c r="F240" s="195"/>
      <c r="G240" s="196"/>
    </row>
    <row r="241" spans="1:9" x14ac:dyDescent="0.25">
      <c r="A241" s="206" t="s">
        <v>443</v>
      </c>
      <c r="B241" s="192">
        <f>SUM(B242:B243)</f>
        <v>94</v>
      </c>
      <c r="C241" s="192">
        <f>SUM(C242:C243)</f>
        <v>1413</v>
      </c>
      <c r="D241" s="213">
        <f t="shared" ref="D241:D245" si="53">B241/C241</f>
        <v>6.6500000000000004E-2</v>
      </c>
      <c r="E241" s="212">
        <v>1781782</v>
      </c>
      <c r="F241" s="214">
        <f t="shared" ref="F241:F245" si="54">B241/E241</f>
        <v>5.2756169999999999E-5</v>
      </c>
      <c r="G241" s="215">
        <f t="shared" ref="G241:G245" si="55">(D241+1)/(F241+1)</f>
        <v>1.0660000000000001</v>
      </c>
    </row>
    <row r="242" spans="1:9" x14ac:dyDescent="0.25">
      <c r="A242" s="197" t="s">
        <v>444</v>
      </c>
      <c r="B242" s="198"/>
      <c r="C242" s="198">
        <v>1319</v>
      </c>
      <c r="D242" s="193"/>
      <c r="E242" s="194"/>
      <c r="F242" s="195"/>
      <c r="G242" s="196"/>
    </row>
    <row r="243" spans="1:9" x14ac:dyDescent="0.25">
      <c r="A243" s="197" t="s">
        <v>445</v>
      </c>
      <c r="B243" s="198">
        <f>C243</f>
        <v>94</v>
      </c>
      <c r="C243" s="198">
        <v>94</v>
      </c>
      <c r="D243" s="193"/>
      <c r="E243" s="194"/>
      <c r="F243" s="195"/>
      <c r="G243" s="196"/>
    </row>
    <row r="244" spans="1:9" x14ac:dyDescent="0.25">
      <c r="A244" s="206" t="s">
        <v>408</v>
      </c>
      <c r="B244" s="192">
        <v>13</v>
      </c>
      <c r="C244" s="192">
        <v>13</v>
      </c>
      <c r="D244" s="193"/>
      <c r="E244" s="194"/>
      <c r="F244" s="195"/>
      <c r="G244" s="196"/>
    </row>
    <row r="245" spans="1:9" x14ac:dyDescent="0.25">
      <c r="A245" s="138" t="s">
        <v>137</v>
      </c>
      <c r="B245" s="192">
        <f>B2+B4+B5+B7+B8+B9+B10+B11+B12+B13+B14+B15+B16+B17+B32+B61+B95+B110+B135+B163+B174+B206</f>
        <v>15343</v>
      </c>
      <c r="C245" s="192">
        <f>C2+C4+C5+C7+C8+C9+C10+C11+C12+C13+C14+C15+C16+C17+C32+C61+C95+C110+C135+C163+C174+C206</f>
        <v>1781782</v>
      </c>
      <c r="D245" s="193">
        <f t="shared" si="53"/>
        <v>8.6E-3</v>
      </c>
      <c r="E245" s="194">
        <v>1781782</v>
      </c>
      <c r="F245" s="195">
        <f t="shared" si="54"/>
        <v>8.6110422000000002E-3</v>
      </c>
      <c r="G245" s="196">
        <f t="shared" si="55"/>
        <v>1</v>
      </c>
    </row>
    <row r="246" spans="1:9" x14ac:dyDescent="0.25">
      <c r="E246" s="220">
        <f>E245-C245</f>
        <v>0</v>
      </c>
    </row>
    <row r="247" spans="1:9" ht="37.5" customHeight="1" x14ac:dyDescent="0.25">
      <c r="A247" s="445" t="s">
        <v>446</v>
      </c>
      <c r="B247" s="445"/>
      <c r="C247" s="445"/>
      <c r="D247" s="445"/>
      <c r="E247" s="445"/>
      <c r="F247" s="445"/>
      <c r="G247" s="445"/>
    </row>
    <row r="248" spans="1:9" ht="37.5" customHeight="1" x14ac:dyDescent="0.25">
      <c r="A248" s="221"/>
      <c r="B248" s="221"/>
      <c r="C248" s="221"/>
      <c r="D248" s="221"/>
      <c r="E248" s="221"/>
      <c r="F248" s="221"/>
      <c r="G248" s="221"/>
    </row>
    <row r="249" spans="1:9" ht="29.25" customHeight="1" x14ac:dyDescent="0.5">
      <c r="A249" s="446" t="s">
        <v>447</v>
      </c>
      <c r="C249" s="447" t="s">
        <v>448</v>
      </c>
      <c r="D249" s="222" t="s">
        <v>449</v>
      </c>
      <c r="E249" s="223"/>
      <c r="F249" s="223"/>
      <c r="G249" s="223"/>
      <c r="H249" s="223"/>
      <c r="I249" s="224"/>
    </row>
    <row r="250" spans="1:9" ht="18.75" x14ac:dyDescent="0.25">
      <c r="A250" s="446"/>
      <c r="B250" s="225"/>
      <c r="C250" s="448"/>
      <c r="D250" s="226" t="s">
        <v>450</v>
      </c>
      <c r="E250" s="227"/>
      <c r="F250" s="228"/>
      <c r="G250" s="229"/>
      <c r="H250" s="230"/>
      <c r="I250" s="224"/>
    </row>
    <row r="251" spans="1:9" x14ac:dyDescent="0.25">
      <c r="A251" s="231" t="s">
        <v>451</v>
      </c>
      <c r="B251" s="225"/>
      <c r="C251" s="224"/>
      <c r="D251" s="224"/>
      <c r="E251" s="227"/>
      <c r="F251" s="228"/>
      <c r="G251" s="229"/>
      <c r="H251" s="230"/>
      <c r="I251" s="224"/>
    </row>
    <row r="252" spans="1:9" ht="18.75" x14ac:dyDescent="0.25">
      <c r="A252" s="441" t="s">
        <v>452</v>
      </c>
      <c r="B252" s="442"/>
      <c r="C252" s="442"/>
      <c r="D252" s="442"/>
      <c r="E252" s="442"/>
      <c r="F252" s="442"/>
      <c r="G252" s="442"/>
      <c r="H252" s="442"/>
      <c r="I252" s="224"/>
    </row>
    <row r="253" spans="1:9" ht="15" x14ac:dyDescent="0.25">
      <c r="A253" s="449" t="s">
        <v>453</v>
      </c>
      <c r="B253" s="442"/>
      <c r="C253" s="442"/>
      <c r="D253" s="442"/>
      <c r="E253" s="442"/>
      <c r="F253" s="442"/>
      <c r="G253" s="442"/>
      <c r="H253" s="442"/>
      <c r="I253" s="224"/>
    </row>
    <row r="254" spans="1:9" ht="7.5" customHeight="1" x14ac:dyDescent="0.25">
      <c r="A254" s="231"/>
      <c r="B254" s="224"/>
      <c r="C254" s="224"/>
      <c r="D254" s="224"/>
      <c r="E254" s="232"/>
      <c r="F254" s="224"/>
      <c r="G254" s="224"/>
      <c r="H254" s="233"/>
      <c r="I254" s="224"/>
    </row>
    <row r="255" spans="1:9" ht="18.75" x14ac:dyDescent="0.25">
      <c r="A255" s="441" t="s">
        <v>454</v>
      </c>
      <c r="B255" s="442"/>
      <c r="C255" s="442"/>
      <c r="D255" s="442"/>
      <c r="E255" s="442"/>
      <c r="F255" s="442"/>
      <c r="G255" s="442"/>
      <c r="H255" s="442"/>
      <c r="I255" s="224"/>
    </row>
    <row r="256" spans="1:9" x14ac:dyDescent="0.25">
      <c r="A256" s="231" t="s">
        <v>455</v>
      </c>
      <c r="B256" s="234"/>
      <c r="C256" s="224"/>
      <c r="D256" s="224"/>
      <c r="E256" s="232"/>
      <c r="F256" s="224"/>
      <c r="G256" s="224"/>
      <c r="H256" s="224"/>
      <c r="I256" s="224"/>
    </row>
    <row r="257" spans="1:9" x14ac:dyDescent="0.25">
      <c r="A257" s="231"/>
      <c r="B257" s="234"/>
      <c r="C257" s="224"/>
      <c r="D257" s="224"/>
      <c r="E257" s="232"/>
      <c r="F257" s="224"/>
      <c r="G257" s="224"/>
      <c r="H257" s="224"/>
      <c r="I257" s="224"/>
    </row>
    <row r="258" spans="1:9" ht="45.75" customHeight="1" x14ac:dyDescent="0.25">
      <c r="A258" s="443" t="s">
        <v>456</v>
      </c>
      <c r="B258" s="444"/>
      <c r="C258" s="444"/>
      <c r="D258" s="444"/>
      <c r="E258" s="444"/>
      <c r="F258" s="444"/>
      <c r="G258" s="444"/>
      <c r="H258" s="444"/>
      <c r="I258" s="224"/>
    </row>
  </sheetData>
  <mergeCells count="7">
    <mergeCell ref="A255:H255"/>
    <mergeCell ref="A258:H258"/>
    <mergeCell ref="A247:G247"/>
    <mergeCell ref="A249:A250"/>
    <mergeCell ref="C249:C250"/>
    <mergeCell ref="A252:H252"/>
    <mergeCell ref="A253:H25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6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Май 2025</vt:lpstr>
      <vt:lpstr>Рсчет субвенци (1,14, МРОТ, Кр)</vt:lpstr>
      <vt:lpstr>Предварительные на 2026</vt:lpstr>
      <vt:lpstr>Акты и ЮЗД за 2022-2024</vt:lpstr>
      <vt:lpstr>Смрi</vt:lpstr>
      <vt:lpstr>К-т расселения</vt:lpstr>
      <vt:lpstr>'Рсчет субвенци (1,14, МРОТ, Кр)'!Print_Titles</vt:lpstr>
      <vt:lpstr>'Рсчет субвенци (1,14, МРОТ, Кр)'!Область_печати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Винникова Светлана Геннадьевна</dc:creator>
  <cp:lastModifiedBy>Мясников А.Ю.</cp:lastModifiedBy>
  <cp:revision>1</cp:revision>
  <cp:lastPrinted>2025-11-14T07:09:47Z</cp:lastPrinted>
  <dcterms:created xsi:type="dcterms:W3CDTF">2006-09-16T00:00:00Z</dcterms:created>
  <dcterms:modified xsi:type="dcterms:W3CDTF">2025-11-18T07:00:06Z</dcterms:modified>
</cp:coreProperties>
</file>